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 RIOJA\"/>
    </mc:Choice>
  </mc:AlternateContent>
  <workbookProtection workbookAlgorithmName="SHA-512" workbookHashValue="jm+LMPLEoug3TbttapB7QP+S+kHhedX7NDN57xNlbCESYDMm4xjW1fXJJkg1fMAA9S0/pGJaYwlt3x4uDgg0yw==" workbookSaltValue="TtJzTp++wODEpA76Y0N5z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S19" i="8" s="1"/>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G16" i="8" s="1"/>
  <c r="AY16" i="8"/>
  <c r="BB15" i="8"/>
  <c r="BA15" i="8"/>
  <c r="AZ15" i="8"/>
  <c r="AY15" i="8"/>
  <c r="BB12" i="8"/>
  <c r="BA12" i="8"/>
  <c r="AZ12" i="8"/>
  <c r="AY12" i="8"/>
  <c r="BB11" i="8"/>
  <c r="BA11" i="8"/>
  <c r="BA13" i="8" s="1"/>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N10" i="11"/>
  <c r="N9" i="11"/>
  <c r="T10" i="21"/>
  <c r="F10" i="10"/>
  <c r="N11" i="11"/>
  <c r="ES19" i="8"/>
  <c r="C18" i="7"/>
  <c r="S19" i="13"/>
  <c r="AG19" i="19"/>
  <c r="F9" i="11"/>
  <c r="CI19" i="8"/>
  <c r="AE19" i="8"/>
  <c r="F17" i="16"/>
  <c r="BL17" i="16" s="1"/>
  <c r="EP19" i="8"/>
  <c r="ER19" i="13"/>
  <c r="AL13" i="16"/>
  <c r="S13" i="16"/>
  <c r="H18" i="16"/>
  <c r="P13" i="16"/>
  <c r="AN13" i="20"/>
  <c r="F15" i="17"/>
  <c r="Z13" i="17"/>
  <c r="F9" i="2"/>
  <c r="N13" i="2"/>
  <c r="AC10" i="11"/>
  <c r="T19" i="8"/>
  <c r="AJ19" i="8"/>
  <c r="T13" i="12"/>
  <c r="AY18" i="8"/>
  <c r="BF15" i="8"/>
  <c r="AY13" i="8"/>
  <c r="BE9" i="8"/>
  <c r="AV18" i="17"/>
  <c r="J18" i="17"/>
  <c r="T13" i="16"/>
  <c r="AP13" i="16"/>
  <c r="F11" i="11"/>
  <c r="AQ11" i="11" s="1"/>
  <c r="T18" i="17"/>
  <c r="BF15" i="13"/>
  <c r="BG15" i="13"/>
  <c r="BA18"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O17" i="11" l="1"/>
  <c r="G16" i="3"/>
  <c r="Y19" i="8"/>
  <c r="BD15" i="8"/>
  <c r="BE15" i="8"/>
  <c r="H15" i="7"/>
  <c r="E18" i="2"/>
  <c r="F18" i="2" s="1"/>
  <c r="AW18" i="21"/>
  <c r="H13" i="12"/>
  <c r="BE12" i="8"/>
  <c r="BG12" i="8"/>
  <c r="K12" i="7" s="1"/>
  <c r="H12" i="2"/>
  <c r="D11" i="12"/>
  <c r="BF11" i="8"/>
  <c r="BD11" i="8"/>
  <c r="BE11" i="8"/>
  <c r="I11" i="7" s="1"/>
  <c r="E11" i="6"/>
  <c r="C10" i="6"/>
  <c r="BG10" i="8"/>
  <c r="AB19" i="8"/>
  <c r="BF9" i="8"/>
  <c r="BD9" i="8"/>
  <c r="Z19" i="8"/>
  <c r="B9" i="6"/>
  <c r="BG9" i="8"/>
  <c r="E9" i="6"/>
  <c r="K9" i="7"/>
  <c r="AO12" i="11"/>
  <c r="AO16" i="11"/>
  <c r="AL10" i="11"/>
  <c r="B17" i="6"/>
  <c r="C17" i="6"/>
  <c r="M18" i="2"/>
  <c r="N18" i="2"/>
  <c r="L11" i="14"/>
  <c r="AL15" i="11"/>
  <c r="L16" i="14"/>
  <c r="F15" i="11"/>
  <c r="AQ15" i="11" s="1"/>
  <c r="S12" i="14"/>
  <c r="V12" i="14" s="1"/>
  <c r="R16" i="14"/>
  <c r="R8" i="9"/>
  <c r="BE12" i="13"/>
  <c r="F17" i="17"/>
  <c r="AQ17" i="17" s="1"/>
  <c r="F16" i="17"/>
  <c r="BG16" i="13"/>
  <c r="BD16" i="13"/>
  <c r="BE15" i="13"/>
  <c r="BG15" i="8"/>
  <c r="AZ18" i="13"/>
  <c r="H15" i="2"/>
  <c r="E15" i="6"/>
  <c r="B16" i="6"/>
  <c r="D12" i="12"/>
  <c r="F12" i="11"/>
  <c r="AQ12" i="11" s="1"/>
  <c r="BD12" i="8"/>
  <c r="H12" i="7" s="1"/>
  <c r="B12" i="6"/>
  <c r="L12" i="14"/>
  <c r="AO9" i="11"/>
  <c r="C11" i="6"/>
  <c r="AY13" i="13"/>
  <c r="BE9" i="13"/>
  <c r="BB13" i="13"/>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K12" i="12" s="1"/>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I17" i="12"/>
  <c r="B19" i="7"/>
  <c r="B18" i="6"/>
  <c r="D19" i="12"/>
  <c r="D19" i="5"/>
  <c r="I11" i="12"/>
  <c r="J11" i="12"/>
  <c r="H13" i="2"/>
  <c r="F19" i="7"/>
  <c r="I10" i="12"/>
  <c r="G19" i="7"/>
  <c r="K15" i="12"/>
  <c r="BW21" i="20"/>
  <c r="P16" i="11"/>
  <c r="AM13" i="11"/>
  <c r="Y13" i="11"/>
  <c r="BF11" i="11"/>
  <c r="BL9" i="11"/>
  <c r="BK9" i="11"/>
  <c r="BK13" i="11" s="1"/>
  <c r="BK19" i="11" s="1"/>
  <c r="AO12" i="17"/>
  <c r="BJ15" i="11"/>
  <c r="BJ18" i="11" s="1"/>
  <c r="AZ15" i="11"/>
  <c r="AZ18" i="11" s="1"/>
  <c r="U10" i="17"/>
  <c r="T16" i="11"/>
  <c r="BH11" i="11"/>
  <c r="P17" i="17"/>
  <c r="P18" i="17" s="1"/>
  <c r="P19" i="17" s="1"/>
  <c r="BM12" i="11"/>
  <c r="R17" i="20"/>
  <c r="BV12" i="16"/>
  <c r="BV13" i="16" s="1"/>
  <c r="AA16" i="16"/>
  <c r="BI9" i="11"/>
  <c r="BH12" i="16"/>
  <c r="S16" i="14"/>
  <c r="V16" i="14" s="1"/>
  <c r="V10" i="21"/>
  <c r="V13" i="21" s="1"/>
  <c r="V19" i="21" s="1"/>
  <c r="AL18" i="11"/>
  <c r="F18" i="11"/>
  <c r="C18" i="6"/>
  <c r="G21" i="11"/>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R18" i="20" l="1"/>
  <c r="R19" i="20"/>
  <c r="Q9" i="11"/>
  <c r="P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<sst xmlns="http://schemas.openxmlformats.org/spreadsheetml/2006/main" count="2074" uniqueCount="908">
  <si>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</si>
  <si>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</si>
  <si>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</si>
  <si>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</si>
  <si>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</si>
  <si>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</si>
  <si>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</si>
  <si>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</si>
  <si>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</si>
  <si>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</si>
  <si>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</si>
  <si>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</si>
  <si>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</si>
  <si>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</si>
  <si>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</si>
  <si>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</si>
  <si>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</si>
  <si>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</si>
  <si>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</si>
  <si>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</si>
  <si>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</si>
  <si>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</si>
  <si>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</si>
  <si>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</si>
  <si>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</si>
  <si>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</si>
  <si>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</si>
  <si>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</si>
  <si>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</si>
  <si>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</si>
  <si>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</si>
  <si>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</si>
  <si>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</si>
  <si>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</si>
  <si>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</si>
  <si>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</si>
  <si>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</si>
  <si>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</si>
  <si>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</si>
  <si>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</si>
  <si>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</si>
  <si>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</si>
  <si>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</si>
  <si>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</si>
  <si>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</si>
  <si>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</si>
  <si>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</si>
  <si>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</si>
  <si>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</si>
  <si>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</si>
  <si>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</si>
  <si>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</si>
  <si>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</si>
  <si>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</si>
  <si>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</si>
  <si>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</si>
  <si>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</si>
  <si>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</si>
  <si>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</si>
  <si>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</si>
  <si>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</si>
  <si>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</si>
  <si>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</si>
  <si>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</si>
  <si>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</si>
  <si>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</si>
  <si>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</si>
  <si>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</si>
  <si>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</si>
  <si>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</si>
  <si>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</si>
  <si>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</si>
  <si>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</si>
  <si>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</si>
  <si>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</si>
  <si>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</si>
  <si>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</si>
  <si>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</si>
  <si>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</si>
  <si>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</si>
  <si>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</si>
  <si>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</si>
  <si>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</si>
  <si>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</si>
  <si>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</si>
  <si>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</si>
  <si>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</si>
  <si>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</si>
  <si>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</si>
  <si>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</si>
  <si>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</si>
  <si>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</si>
  <si>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</si>
  <si>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</si>
  <si>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</si>
  <si>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</si>
  <si>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</si>
  <si>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</si>
  <si>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</si>
  <si>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</si>
  <si>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</si>
  <si>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</si>
  <si>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</si>
  <si>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</si>
  <si>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</si>
  <si>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</si>
  <si>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</si>
  <si>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</si>
  <si>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</si>
  <si>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</si>
  <si>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</si>
  <si>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</si>
  <si>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</si>
  <si>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</si>
  <si>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</si>
  <si>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</si>
  <si>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</si>
  <si>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</si>
  <si>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</si>
  <si>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</si>
  <si>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</si>
  <si>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</si>
  <si>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</si>
  <si>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</si>
  <si>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</si>
  <si>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</si>
  <si>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</si>
  <si>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</si>
  <si>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</si>
  <si>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</si>
  <si>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</si>
  <si>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</si>
  <si>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</si>
  <si>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</si>
  <si>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</si>
  <si>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</si>
  <si>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</si>
  <si>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</si>
  <si>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</si>
  <si>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</si>
  <si>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</si>
  <si>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</si>
  <si>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</si>
  <si>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</si>
  <si>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</si>
  <si>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</si>
  <si>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</si>
  <si>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</si>
  <si>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</si>
  <si>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</si>
  <si>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</si>
  <si>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</si>
  <si>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</si>
  <si>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</si>
  <si>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</si>
  <si>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</si>
  <si>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</si>
  <si>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</si>
  <si>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</si>
  <si>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</si>
  <si>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</si>
  <si>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</si>
  <si>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</si>
  <si>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</si>
  <si>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</si>
  <si>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</si>
  <si>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</si>
  <si>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</si>
  <si>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</si>
  <si>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</si>
  <si>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</si>
  <si>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</si>
  <si>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</si>
  <si>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</si>
  <si>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</si>
  <si>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</si>
  <si>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</si>
  <si>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</si>
  <si>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</si>
  <si>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</si>
  <si>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</si>
  <si>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</si>
  <si>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</si>
  <si>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</si>
  <si>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</si>
  <si>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</si>
  <si>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</si>
  <si>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</si>
  <si>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</si>
  <si>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</si>
  <si>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</si>
  <si>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</si>
  <si>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</si>
  <si>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</si>
  <si>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</si>
  <si>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</si>
  <si>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</si>
  <si>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</si>
  <si>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</si>
  <si>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</si>
  <si>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</si>
  <si>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</si>
  <si>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</si>
  <si>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</si>
  <si>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</si>
  <si>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</si>
  <si>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</si>
  <si>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</si>
  <si>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</si>
  <si>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</si>
  <si>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</si>
  <si>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</si>
  <si>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</si>
  <si>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</si>
  <si>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</si>
  <si>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</si>
  <si>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</si>
  <si>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</si>
  <si>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</si>
  <si>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</si>
  <si>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</si>
  <si>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</si>
  <si>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</si>
  <si>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</si>
  <si>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</si>
  <si>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</si>
  <si>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</si>
  <si>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</si>
  <si>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</si>
  <si>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</si>
  <si>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</si>
  <si>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</si>
  <si>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</si>
  <si>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</si>
  <si>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</si>
  <si>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</si>
  <si>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</si>
  <si>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</si>
  <si>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</si>
  <si>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</si>
  <si>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</si>
  <si>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</si>
  <si>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</si>
  <si>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</si>
  <si>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</si>
  <si>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</si>
  <si>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</si>
  <si>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</si>
  <si>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</si>
  <si>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</si>
  <si>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</si>
  <si>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</si>
  <si>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</si>
  <si>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</si>
  <si>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</si>
  <si>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</si>
  <si>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</si>
  <si>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</si>
  <si>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</si>
  <si>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</si>
  <si>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</si>
  <si>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</si>
  <si>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</si>
  <si>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</si>
  <si>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</si>
  <si>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</si>
  <si>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</si>
  <si>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</si>
  <si>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</si>
  <si>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</si>
  <si>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</si>
  <si>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</si>
  <si>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</si>
  <si>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</si>
  <si>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</si>
  <si>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</si>
  <si>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</si>
  <si>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</si>
  <si>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</si>
  <si>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</si>
  <si>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</si>
  <si>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</si>
  <si>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</si>
  <si>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</si>
  <si>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</si>
  <si>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</si>
  <si>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</si>
  <si>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</si>
  <si>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</si>
  <si>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</si>
  <si>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</si>
  <si>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</si>
  <si>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</si>
  <si>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</si>
  <si>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</si>
  <si>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</si>
  <si>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</si>
  <si>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</si>
  <si>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</si>
  <si>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</si>
  <si>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</si>
  <si>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</si>
  <si>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</si>
  <si>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</si>
  <si>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</si>
  <si>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</si>
  <si>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</si>
  <si>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</si>
  <si>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</si>
  <si>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</si>
  <si>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</si>
  <si>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</si>
  <si>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</si>
  <si>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</si>
  <si>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</si>
  <si>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</si>
  <si>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</si>
  <si>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</si>
  <si>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</si>
  <si>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</si>
  <si>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</si>
  <si>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</si>
  <si>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</si>
  <si>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</si>
  <si>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</si>
  <si>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</si>
  <si>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</si>
  <si>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</si>
  <si>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</si>
  <si>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</si>
  <si>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</si>
  <si>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</si>
  <si>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</si>
  <si>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</si>
  <si>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</si>
  <si>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</si>
  <si>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</si>
  <si>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</si>
  <si>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</si>
  <si>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</si>
  <si>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</si>
  <si>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</si>
  <si>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</si>
  <si>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</si>
  <si>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</si>
  <si>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</si>
  <si>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</si>
  <si>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</si>
  <si>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</si>
  <si>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</si>
  <si>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</si>
  <si>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</si>
  <si>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</si>
  <si>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</si>
  <si>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</si>
  <si>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</si>
  <si>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</si>
  <si>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</si>
  <si>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</si>
  <si>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</si>
  <si>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</si>
  <si>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</si>
  <si>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</si>
  <si>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</si>
  <si>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</si>
  <si>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</si>
  <si>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</si>
  <si>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</si>
  <si>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</si>
  <si>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</si>
  <si>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</si>
  <si>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</si>
  <si>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</si>
  <si>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</si>
  <si>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</si>
  <si>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</si>
  <si>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</si>
  <si>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</si>
  <si>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</si>
  <si>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</si>
  <si>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</si>
  <si>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</si>
  <si>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</si>
  <si>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</si>
  <si>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</si>
  <si>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</si>
  <si>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</si>
  <si>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</si>
  <si>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</si>
  <si>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</si>
  <si>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</si>
  <si>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</si>
  <si>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</si>
  <si>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</si>
  <si>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</si>
  <si>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</si>
  <si>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</si>
  <si>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</si>
  <si>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</si>
  <si>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</si>
  <si>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</si>
  <si>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</si>
  <si>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</si>
  <si>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</si>
  <si>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</si>
  <si>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</si>
  <si>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</si>
  <si>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</si>
  <si>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</si>
  <si>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</si>
  <si>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</si>
  <si>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</si>
  <si>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</si>
  <si>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</si>
  <si>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</si>
  <si>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</si>
  <si>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</si>
  <si>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</si>
  <si>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</si>
  <si>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</si>
  <si>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</si>
  <si>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</si>
  <si>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</si>
  <si>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</si>
  <si>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</si>
  <si>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</si>
  <si>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</si>
  <si>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</si>
  <si>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</si>
  <si>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</si>
  <si>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</si>
  <si>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</si>
  <si>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</si>
  <si>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</si>
  <si>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</si>
  <si>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</si>
  <si>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</si>
  <si>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</si>
  <si>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</si>
  <si>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</si>
  <si>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</si>
  <si>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</si>
  <si>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</si>
  <si>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</si>
  <si>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</si>
  <si>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</si>
  <si>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</si>
  <si>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</si>
  <si>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</si>
  <si>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</si>
  <si>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</si>
  <si>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</si>
  <si>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</si>
  <si>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</si>
  <si>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</si>
  <si>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</si>
  <si>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</si>
  <si>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</si>
  <si>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</si>
  <si>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</si>
  <si>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</si>
  <si>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</si>
  <si>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</si>
  <si>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</si>
  <si>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</si>
  <si>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</si>
  <si>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</si>
  <si>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</si>
  <si>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</si>
  <si>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</si>
  <si>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</si>
  <si>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</si>
  <si>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</si>
  <si>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</si>
  <si>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</si>
  <si>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</si>
  <si>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</si>
  <si>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</si>
  <si>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</si>
  <si>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</si>
  <si>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</si>
  <si>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</si>
  <si>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</si>
  <si>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</si>
  <si>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</si>
  <si>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</si>
  <si>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</si>
  <si>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</si>
  <si>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</si>
  <si>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</si>
  <si>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</si>
  <si>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</si>
  <si>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</si>
  <si>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</si>
  <si>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</si>
  <si>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</si>
  <si>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</si>
  <si>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</si>
  <si>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</si>
  <si>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</si>
  <si>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</si>
  <si>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</si>
  <si>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</si>
  <si>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</si>
  <si>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</si>
  <si>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</si>
  <si>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</si>
  <si>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</si>
  <si>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</si>
  <si>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</si>
  <si>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</si>
  <si>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</si>
  <si>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</si>
  <si>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</si>
  <si>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</si>
  <si>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</si>
  <si>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</si>
  <si>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</si>
  <si>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</si>
  <si>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</si>
  <si>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</si>
  <si>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</si>
  <si>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</si>
  <si>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</si>
  <si>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</si>
  <si>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</si>
  <si>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</si>
  <si>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</si>
  <si>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</si>
  <si>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</si>
  <si>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</si>
  <si>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</si>
  <si>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</si>
  <si>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</si>
  <si>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</si>
  <si>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</si>
  <si>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</si>
  <si>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</si>
  <si>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</si>
  <si>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</si>
  <si>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</si>
  <si>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</si>
  <si>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</si>
  <si>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</si>
  <si>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</si>
  <si>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</si>
  <si>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</si>
  <si>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</si>
  <si>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</si>
  <si>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</si>
  <si>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</si>
  <si>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</si>
  <si>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</si>
  <si>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</si>
  <si>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</si>
  <si>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</si>
  <si>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</si>
  <si>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</si>
  <si>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</si>
  <si>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</si>
  <si>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</si>
  <si>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</si>
  <si>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</si>
  <si>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</si>
  <si>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</si>
  <si>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</si>
  <si>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</si>
  <si>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</si>
  <si>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</si>
  <si>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</si>
  <si>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</si>
  <si>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</si>
  <si>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</si>
  <si>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</si>
  <si>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</si>
  <si>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</si>
  <si>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</si>
  <si>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</si>
  <si>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</si>
  <si>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</si>
  <si>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</si>
  <si>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</si>
  <si>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</si>
  <si>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</si>
  <si>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</si>
  <si>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</si>
  <si>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</si>
  <si>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</si>
  <si>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</si>
  <si>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</si>
  <si>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</si>
  <si>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</si>
  <si>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</si>
  <si>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</si>
  <si>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</si>
  <si>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</si>
  <si>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</si>
  <si>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</si>
  <si>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</si>
  <si>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</si>
  <si>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</si>
  <si>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</si>
  <si>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</si>
  <si>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</si>
  <si>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</si>
  <si>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</si>
  <si>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</si>
  <si>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</si>
  <si>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</si>
  <si>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</si>
  <si>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</si>
  <si>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</si>
  <si>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</si>
  <si>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</si>
  <si>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</si>
  <si>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</si>
  <si>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</si>
  <si>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</si>
  <si>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</si>
  <si>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</si>
  <si>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</si>
  <si>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</si>
  <si>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</si>
  <si>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</si>
  <si>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</si>
  <si>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</si>
  <si>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</si>
  <si>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</si>
  <si>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</si>
  <si>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</si>
  <si>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</si>
  <si>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</si>
  <si>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</si>
  <si>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</si>
  <si>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</si>
  <si>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</si>
  <si>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</si>
  <si>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</si>
  <si>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</si>
  <si>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</si>
  <si>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</si>
  <si>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</si>
  <si>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</si>
  <si>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</si>
  <si>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</si>
  <si>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</si>
  <si>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</si>
  <si>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</si>
  <si>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</si>
  <si>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</si>
  <si>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</si>
  <si>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</si>
  <si>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</si>
  <si>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</si>
  <si>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</si>
  <si>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</si>
  <si>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</si>
  <si>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</si>
  <si>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</si>
  <si>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</si>
  <si>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</si>
  <si>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</si>
  <si>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</si>
  <si>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</si>
  <si>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</si>
  <si>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</si>
  <si>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</si>
  <si>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</si>
  <si>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</si>
  <si>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</si>
  <si>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</si>
  <si>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</si>
  <si>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</si>
  <si>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</si>
  <si>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</si>
  <si>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</si>
  <si>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</si>
  <si>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</si>
  <si>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</si>
  <si>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</si>
  <si>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</si>
  <si>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</si>
  <si>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</si>
  <si>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</si>
  <si>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</si>
  <si>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</si>
  <si>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</si>
  <si>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</si>
  <si>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</si>
  <si>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</si>
  <si>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</si>
  <si>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</si>
  <si>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</si>
  <si>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</si>
  <si>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</si>
  <si>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</si>
  <si>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</si>
  <si>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</si>
  <si>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</si>
  <si>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</si>
  <si>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</si>
  <si>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</si>
  <si>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</si>
  <si>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</si>
  <si>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</si>
  <si>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</si>
  <si>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</si>
  <si>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</si>
  <si>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</si>
  <si>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</si>
  <si>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</si>
  <si>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</si>
  <si>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</si>
  <si>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</si>
  <si>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</si>
  <si>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</si>
  <si>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</si>
  <si>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</si>
  <si>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</si>
  <si>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</si>
  <si>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</si>
  <si>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</si>
  <si>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</si>
  <si>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</si>
  <si>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</si>
  <si>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</si>
  <si>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</si>
  <si>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</si>
  <si>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</si>
  <si>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</si>
  <si>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</si>
  <si>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</si>
  <si>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</si>
  <si>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</si>
  <si>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</si>
  <si>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</si>
  <si>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</si>
  <si>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</si>
  <si>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</si>
  <si>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</si>
  <si>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</si>
  <si>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</si>
  <si>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</si>
  <si>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</si>
  <si>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</si>
  <si>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</si>
  <si>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</si>
  <si>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</si>
  <si>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</si>
  <si>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</si>
  <si>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</si>
  <si>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</si>
  <si>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</si>
  <si>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</si>
  <si>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</si>
  <si>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</si>
  <si>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</si>
  <si>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</si>
  <si>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</si>
  <si>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</si>
  <si>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</si>
  <si>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</si>
  <si>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</si>
  <si>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</si>
  <si>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</si>
  <si>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</si>
  <si>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</si>
  <si>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</si>
  <si>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</si>
  <si>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</si>
  <si>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</si>
  <si>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</si>
  <si>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</si>
  <si>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</si>
  <si>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</si>
  <si>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</si>
  <si>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</si>
  <si>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</si>
  <si>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</si>
  <si>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</si>
  <si>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</si>
  <si>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</si>
  <si>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</si>
  <si>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</si>
  <si>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</si>
  <si>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</si>
  <si>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</si>
  <si>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</si>
  <si>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</si>
  <si>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</si>
  <si>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</si>
  <si>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</si>
  <si>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</si>
  <si>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</si>
  <si>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</si>
  <si>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</si>
  <si>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</si>
  <si>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</si>
  <si>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</si>
  <si>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</si>
  <si>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</si>
  <si>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</si>
  <si>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</si>
  <si>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</si>
  <si>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</si>
  <si>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</si>
  <si>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</si>
  <si>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</si>
  <si>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</si>
  <si>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</si>
  <si>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</si>
  <si>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</si>
  <si>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</si>
  <si>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</si>
  <si>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</si>
  <si>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</si>
  <si>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</si>
  <si>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</si>
  <si>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</si>
  <si>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</si>
  <si>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</si>
  <si>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</si>
  <si>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</si>
  <si>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</si>
  <si>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</si>
  <si>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</si>
  <si>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</si>
  <si>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</si>
  <si>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</si>
  <si>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</si>
  <si>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</si>
  <si>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</si>
  <si>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</si>
  <si>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</si>
  <si>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</si>
  <si>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</si>
  <si>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</si>
  <si>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</si>
  <si>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</si>
  <si>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</si>
  <si>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</si>
  <si>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</si>
  <si>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</si>
  <si>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</si>
  <si>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</si>
  <si>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</si>
  <si>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</si>
  <si>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</si>
  <si>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</si>
  <si>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</si>
  <si>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</si>
  <si>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</si>
  <si>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</si>
  <si>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</si>
  <si>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</si>
  <si>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</si>
  <si>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</si>
  <si>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</si>
  <si>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</si>
  <si>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</si>
  <si>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</si>
  <si>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</si>
  <si>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</si>
  <si>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</si>
  <si>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</si>
  <si>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</si>
  <si>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</si>
  <si>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</si>
  <si>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</si>
  <si>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</si>
  <si>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</si>
  <si>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</si>
  <si>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</si>
  <si>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</si>
  <si>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</si>
  <si>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</si>
  <si>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</si>
  <si>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</si>
  <si>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</si>
  <si>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</si>
  <si>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</si>
  <si>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</si>
  <si>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</si>
  <si>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</si>
  <si>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</si>
  <si>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</si>
  <si>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</si>
  <si>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</si>
  <si>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</si>
  <si>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</si>
  <si>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</si>
  <si>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</si>
  <si>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</si>
  <si>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</si>
  <si>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</si>
  <si>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</si>
  <si>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</si>
  <si>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</si>
  <si>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</si>
  <si>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</si>
  <si>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</si>
  <si>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</si>
  <si>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</si>
  <si>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</si>
  <si>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LA RIOJA</t>
  </si>
  <si>
    <t>Provincias</t>
  </si>
  <si>
    <t>Resumenes por Partidos Judiciales</t>
  </si>
  <si>
    <t>LOGROÑO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</si>
</sst>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4</v>
      </c>
      <c r="E5" s="371"/>
      <c r="F5" s="3"/>
      <c r="H5" t="s">
        <v>420</v>
      </c>
      <c r="Q5" s="345">
        <v>3</v>
      </c>
      <c r="R5" s="345">
        <v>2</v>
      </c>
      <c r="S5" t="b">
        <f>AND(Q5&gt;=TrimIni,Q5&lt;=TrimFin)</f>
        <v>0</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903</v>
      </c>
      <c r="B9" s="374" t="s">
        <v>904</v>
      </c>
      <c r="C9" s="371"/>
      <c r="D9" s="371"/>
      <c r="E9" s="380"/>
      <c r="F9" s="3"/>
    </row>
    <row r="10" spans="1:19">
      <c r="A10" s="379" t="s">
        <v>905</v>
      </c>
      <c r="B10" s="371" t="s">
        <v>904</v>
      </c>
      <c r="C10" s="371"/>
      <c r="D10" s="371"/>
      <c r="E10" s="380"/>
      <c r="F10" s="3"/>
      <c r="Q10" s="345">
        <v>0</v>
      </c>
    </row>
    <row r="11" spans="1:19" ht="13.5" thickBot="1">
      <c r="A11" s="381" t="s">
        <v>906</v>
      </c>
      <c r="B11" s="382" t="s">
        <v>907</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L0zpWpNVUKihz2yx8Sbulmr9MgkSQPSHzKvz4qO84rIh2wPeN1ls0NvhTkuDA8QA/35XXsE/Ak8KAdEYHoOPQ==" saltValue="c0pZ3+zIB7sYf9vFbiuN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LA RIOJA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4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16.716736207695874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145</v>
      </c>
      <c r="D10" s="224">
        <f>IF(ISNUMBER(Datos!I10),Datos!I10," - ")</f>
        <v>145</v>
      </c>
      <c r="E10" s="225">
        <f>IF(ISNUMBER(Datos!J10),Datos!J10," - ")</f>
        <v>62</v>
      </c>
      <c r="F10" s="225">
        <f>IF(ISNUMBER(Datos!K10),Datos!K10," - ")</f>
        <v>44</v>
      </c>
      <c r="G10" s="1033" t="str">
        <f>IF(Datos!E10&lt;&gt;"",Datos!E10,Datos!D10)</f>
        <v>37</v>
      </c>
      <c r="H10" s="226">
        <f>IF(ISNUMBER(Datos!L10),Datos!L10," - ")</f>
        <v>163</v>
      </c>
      <c r="I10" s="1043" t="str">
        <f>IF(ISNUMBER(Datos!AS10/Datos!BM10),Datos!AS10/Datos!BM10," - ")</f>
        <v xml:space="preserve"> - </v>
      </c>
      <c r="J10" s="1044">
        <f>IF(ISNUMBER(Datos!BY10/Datos!CN10),Datos!BY10/Datos!CN10," - ")</f>
        <v>0</v>
      </c>
      <c r="K10" s="229">
        <f t="shared" ref="K10:K12" si="1">IF(ISNUMBER((E10-F10)/C10),(E10-F10)/C10," - ")</f>
        <v>0.12413793103448276</v>
      </c>
      <c r="L10" s="1024">
        <f>IF(ISNUMBER(NºAsuntos!I10/NºAsuntos!G10),(NºAsuntos!I10/NºAsuntos!G10)*11," - ")</f>
        <v>40.75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20.060453400503778</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145</v>
      </c>
      <c r="D13" s="1048">
        <f>SUBTOTAL(9,D9:D12)</f>
        <v>145</v>
      </c>
      <c r="E13" s="1049">
        <f>SUBTOTAL(9,E9:E12)</f>
        <v>62</v>
      </c>
      <c r="F13" s="1050">
        <f>SUBTOTAL(9,F9:F12)</f>
        <v>44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2655</v>
      </c>
      <c r="D15" s="224">
        <f>IF(ISNUMBER(IF(D_I="SI",Datos!I15,Datos!I15+Datos!AC15)),IF(D_I="SI",Datos!I15,Datos!I15+Datos!AC15)," - ")</f>
        <v>2655</v>
      </c>
      <c r="E15" s="225">
        <f>IF(ISNUMBER(IF(D_I="SI",Datos!J15,Datos!J15+Datos!AD15)),IF(D_I="SI",Datos!J15,Datos!J15+Datos!AD15)," - ")</f>
        <v>2071</v>
      </c>
      <c r="F15" s="225">
        <f>IF(ISNUMBER(IF(D_I="SI",Datos!K15,Datos!K15+Datos!AE15)),IF(D_I="SI",Datos!K15,Datos!K15+Datos!AE15)," - ")</f>
        <v>1985</v>
      </c>
      <c r="G15" s="1033" t="str">
        <f>IF(Datos!E15&lt;&gt;"",Datos!E15,Datos!D15)</f>
        <v>03</v>
      </c>
      <c r="H15" s="226">
        <f>IF(ISNUMBER(IF(D_I="SI",Datos!L15,Datos!L15+Datos!AF15)),IF(D_I="SI",Datos!L15,Datos!L15+Datos!AF15)," - ")</f>
        <v>2741</v>
      </c>
      <c r="I15" s="1043" t="str">
        <f>IF(ISNUMBER(Datos!AS15/Datos!BM15),Datos!AS15/Datos!BM15," - ")</f>
        <v xml:space="preserve"> - </v>
      </c>
      <c r="J15" s="1044">
        <f>IF(ISNUMBER(Datos!BY15/Datos!CN15),Datos!BY15/Datos!CN15," - ")</f>
        <v>0</v>
      </c>
      <c r="K15" s="229">
        <f t="shared" ref="K15:K17" si="3">IF(ISNUMBER((E15-F15)/C15),(E15-F15)/C15," - ")</f>
        <v>3.2391713747645948E-2</v>
      </c>
      <c r="L15" s="1024">
        <f>IF(ISNUMBER(NºAsuntos!I15/NºAsuntos!G15),(NºAsuntos!I15/NºAsuntos!G15)*11," - ")</f>
        <v>15.189420654911837</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475</v>
      </c>
      <c r="D17" s="224">
        <f>IF(ISNUMBER(IF(D_I="SI",Datos!I17,Datos!I17+Datos!AC17)),IF(D_I="SI",Datos!I17,Datos!I17+Datos!AC17)," - ")</f>
        <v>475</v>
      </c>
      <c r="E17" s="225">
        <f>IF(ISNUMBER(IF(D_I="SI",Datos!J17,Datos!J17+Datos!AD17)),IF(D_I="SI",Datos!J17,Datos!J17+Datos!AD17)," - ")</f>
        <v>348</v>
      </c>
      <c r="F17" s="225">
        <f>IF(ISNUMBER(IF(D_I="SI",Datos!K17,Datos!K17+Datos!AE17)),IF(D_I="SI",Datos!K17,Datos!K17+Datos!AE17)," - ")</f>
        <v>307</v>
      </c>
      <c r="G17" s="1033" t="str">
        <f>IF(Datos!E17&lt;&gt;"",Datos!E17,Datos!D17)</f>
        <v>37</v>
      </c>
      <c r="H17" s="226">
        <f>IF(ISNUMBER(IF(D_I="SI",Datos!L17,Datos!L17+Datos!AF17)),IF(D_I="SI",Datos!L17,Datos!L17+Datos!AF17)," - ")</f>
        <v>516</v>
      </c>
      <c r="I17" s="1043" t="str">
        <f>IF(ISNUMBER(Datos!AS17/Datos!BM17),Datos!AS17/Datos!BM17," - ")</f>
        <v xml:space="preserve"> - </v>
      </c>
      <c r="J17" s="1044" t="str">
        <f>IF(ISNUMBER((Datos!BY17+Datos!BZ17)/Datos!CN17),(Datos!BY17+Datos!BZ17)/Datos!CN17," - ")</f>
        <v xml:space="preserve"> - </v>
      </c>
      <c r="K17" s="229">
        <f t="shared" si="3"/>
        <v>8.6315789473684207E-2</v>
      </c>
      <c r="L17" s="1024">
        <f>IF(ISNUMBER(NºAsuntos!I17/NºAsuntos!G17),(NºAsuntos!I17/NºAsuntos!G17)*11," - ")</f>
        <v>18.488599348534201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3130</v>
      </c>
      <c r="D18" s="1048">
        <f>SUBTOTAL(9,D15:D17)</f>
        <v>3130</v>
      </c>
      <c r="E18" s="1049">
        <f>SUBTOTAL(9,E15:E17)</f>
        <v>2419</v>
      </c>
      <c r="F18" s="1049">
        <f>SUBTOTAL(9,F15:F17)</f>
        <v>2292</v>
      </c>
      <c r="G18" s="1051" t="str">
        <f ca="1">INDIRECT(CONCATENATE("G",ROW()-1))</f>
        <v>37</v>
      </c>
      <c r="H18" s="1052">
        <f ca="1">SUMIF(G$14:G17,G18,H$14:H17)</f>
        <v>516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3275</v>
      </c>
      <c r="D19" s="1070">
        <f>SUBTOTAL(9,D9:D18)</f>
        <v>3275</v>
      </c>
      <c r="E19" s="1071">
        <f>SUBTOTAL(9,E9:E18)</f>
        <v>2481</v>
      </c>
      <c r="F19" s="1071">
        <f>SUBTOTAL(9,F9:F18)</f>
        <v>2336</v>
      </c>
      <c r="G19" s="1072"/>
      <c r="H19" s="1073">
        <f ca="1">SUMIF(B9:B18,"TOTAL",H9:H18)</f>
        <v>516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WsJ26q5Kdp+ZuBdOqGNl94LVOWwK5Mf4vFpG+OOgzcKLQTNpHTPvvSscQ8OCEUPOaNQnBnIZBzrFkUSf2q/VrQ==" saltValue="mzlHZ4wz5szCXXmg3rIq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ePtUR4tRHYmrOmBfugL7qJi9U0EKWbRkJ1Bvx3U7ZkVk4imjW71H4OGWVr1LsVnxpQ99VPrjh7+zZNgYE7Je4A==" saltValue="YgyQjFpklNJ0GxapSGuNu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3343</v>
      </c>
      <c r="J9" s="180">
        <v>1768</v>
      </c>
      <c r="K9" s="180">
        <v>1987</v>
      </c>
      <c r="L9" s="180">
        <v>3124</v>
      </c>
      <c r="M9" s="180">
        <v>586</v>
      </c>
      <c r="N9" s="180">
        <v>804</v>
      </c>
      <c r="O9" s="180">
        <v>1293</v>
      </c>
      <c r="P9" s="180">
        <v>921</v>
      </c>
      <c r="Q9" s="180">
        <v>1079</v>
      </c>
      <c r="R9" s="180">
        <v>9962</v>
      </c>
      <c r="S9" s="180">
        <v>5454</v>
      </c>
      <c r="T9" s="180">
        <v>2579</v>
      </c>
      <c r="U9" s="180">
        <v>2910</v>
      </c>
      <c r="V9" s="180">
        <v>5123</v>
      </c>
      <c r="W9" s="180">
        <v>1010</v>
      </c>
      <c r="X9" s="187">
        <v>891</v>
      </c>
      <c r="Y9" s="190">
        <v>139</v>
      </c>
      <c r="Z9" s="180">
        <v>185</v>
      </c>
      <c r="AA9" s="180">
        <v>170</v>
      </c>
      <c r="AB9" s="180">
        <v>154</v>
      </c>
      <c r="AC9" s="180">
        <v>0</v>
      </c>
      <c r="AD9" s="180">
        <v>0</v>
      </c>
      <c r="AE9" s="180">
        <v>0</v>
      </c>
      <c r="AF9" s="187">
        <v>0</v>
      </c>
      <c r="AG9" s="190">
        <v>44</v>
      </c>
      <c r="AH9" s="180">
        <v>43</v>
      </c>
      <c r="AI9" s="180">
        <v>46</v>
      </c>
      <c r="AJ9" s="191">
        <v>41</v>
      </c>
      <c r="AK9" s="179">
        <v>0</v>
      </c>
      <c r="AL9" s="180">
        <v>0</v>
      </c>
      <c r="AM9" s="180">
        <v>0</v>
      </c>
      <c r="AN9" s="187">
        <v>0</v>
      </c>
      <c r="AO9" s="257">
        <v>6</v>
      </c>
      <c r="AP9" s="153">
        <v>6</v>
      </c>
      <c r="AQ9" s="153">
        <v>6</v>
      </c>
      <c r="AR9" s="192">
        <v>6</v>
      </c>
      <c r="AS9" s="337" t="s">
        <v>786</v>
      </c>
      <c r="AT9" s="194"/>
      <c r="AU9" s="193"/>
      <c r="AV9" s="194"/>
      <c r="AW9" s="193"/>
      <c r="AX9" s="194"/>
      <c r="AY9" s="123">
        <f>IF(ISNUMBER(IF(J_V="SI",S9,S9+AG9)),IF(J_V="SI",S9,S9+AG9)," - ")</f>
        <v>5498</v>
      </c>
      <c r="AZ9" s="123">
        <f>IF(ISNUMBER(IF(J_V="SI",T9,T9+AH9)),IF(J_V="SI",T9,T9+AH9)," - ")</f>
        <v>2622</v>
      </c>
      <c r="BA9" s="124">
        <f>IF(ISNUMBER(IF(J_V="SI",U9,U9+AI9)),IF(J_V="SI",U9,U9+AI9)," - ")</f>
        <v>2956</v>
      </c>
      <c r="BB9" s="124">
        <f>IF(ISNUMBER(IF(J_V="SI",V9,V9+AJ9)),IF(J_V="SI",V9,V9+AJ9)," - ")</f>
        <v>5164</v>
      </c>
      <c r="BC9" s="125">
        <f>IF(ISNUMBER(X9),X9," - ")</f>
        <v>891</v>
      </c>
      <c r="BD9" s="126">
        <f>IF(ISNUMBER(BA9/AZ9),BA9/AZ9," - ")</f>
        <v>1.1273836765827612</v>
      </c>
      <c r="BE9" s="127">
        <f>IF(ISNUMBER(BB9/BA9),BB9/BA9, " - ")</f>
        <v>1.746955345060893</v>
      </c>
      <c r="BF9" s="127">
        <f>IF(ISNUMBER(BC9/BA9),BC9/BA9, " - ")</f>
        <v>0.30142083897158323</v>
      </c>
      <c r="BG9" s="195">
        <f>IF(ISNUMBER((AY9+AZ9)/BA9),(AY9+AZ9)/BA9," - ")</f>
        <v>2.746955345060893</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145</v>
      </c>
      <c r="J10" s="180">
        <v>62</v>
      </c>
      <c r="K10" s="180">
        <v>44</v>
      </c>
      <c r="L10" s="180">
        <v>163</v>
      </c>
      <c r="M10" s="180">
        <v>17</v>
      </c>
      <c r="N10" s="180">
        <v>32</v>
      </c>
      <c r="O10" s="180">
        <v>1</v>
      </c>
      <c r="P10" s="180">
        <v>16</v>
      </c>
      <c r="Q10" s="180">
        <v>15</v>
      </c>
      <c r="R10" s="180">
        <v>192</v>
      </c>
      <c r="S10" s="180">
        <v>118</v>
      </c>
      <c r="T10" s="180">
        <v>51</v>
      </c>
      <c r="U10" s="180">
        <v>55</v>
      </c>
      <c r="V10" s="180">
        <v>114</v>
      </c>
      <c r="W10" s="180">
        <v>30</v>
      </c>
      <c r="X10" s="187">
        <v>19</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118</v>
      </c>
      <c r="AZ10" s="129">
        <f t="shared" si="0"/>
        <v>51</v>
      </c>
      <c r="BA10" s="129">
        <f t="shared" si="0"/>
        <v>55</v>
      </c>
      <c r="BB10" s="129">
        <f t="shared" si="0"/>
        <v>114</v>
      </c>
      <c r="BC10" s="125">
        <f t="shared" si="0"/>
        <v>30</v>
      </c>
      <c r="BD10" s="126">
        <f>IF(ISNUMBER(BA10/AZ10),BA10/AZ10," - ")</f>
        <v>1.0784313725490196</v>
      </c>
      <c r="BE10" s="127">
        <f>IF(ISNUMBER(BB10/BA10),BB10/BA10, " - ")</f>
        <v>2.0727272727272728</v>
      </c>
      <c r="BF10" s="127">
        <f>IF(ISNUMBER(BC10/BA10),BC10/BA10, " - ")</f>
        <v>0.54545454545454541</v>
      </c>
      <c r="BG10" s="195">
        <f>IF(ISNUMBER((AY10+AZ10)/BA10),(AY10+AZ10)/BA10," - ")</f>
        <v>3.0727272727272728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729</v>
      </c>
      <c r="J11" s="182">
        <v>281</v>
      </c>
      <c r="K11" s="182">
        <v>294</v>
      </c>
      <c r="L11" s="182">
        <v>716</v>
      </c>
      <c r="M11" s="182">
        <v>147</v>
      </c>
      <c r="N11" s="182">
        <v>238</v>
      </c>
      <c r="O11" s="180">
        <v>84</v>
      </c>
      <c r="P11" s="182">
        <v>34</v>
      </c>
      <c r="Q11" s="182">
        <v>270</v>
      </c>
      <c r="R11" s="182">
        <v>278</v>
      </c>
      <c r="S11" s="182">
        <v>863</v>
      </c>
      <c r="T11" s="182">
        <v>329</v>
      </c>
      <c r="U11" s="182">
        <v>352</v>
      </c>
      <c r="V11" s="182">
        <v>840</v>
      </c>
      <c r="W11" s="182">
        <v>183</v>
      </c>
      <c r="X11" s="188">
        <v>189</v>
      </c>
      <c r="Y11" s="190">
        <v>8</v>
      </c>
      <c r="Z11" s="180">
        <v>103</v>
      </c>
      <c r="AA11" s="180">
        <v>103</v>
      </c>
      <c r="AB11" s="180">
        <v>8</v>
      </c>
      <c r="AC11" s="182">
        <v>0</v>
      </c>
      <c r="AD11" s="182">
        <v>0</v>
      </c>
      <c r="AE11" s="182">
        <v>0</v>
      </c>
      <c r="AF11" s="188">
        <v>0</v>
      </c>
      <c r="AG11" s="201">
        <v>10</v>
      </c>
      <c r="AH11" s="182">
        <v>100</v>
      </c>
      <c r="AI11" s="182">
        <v>101</v>
      </c>
      <c r="AJ11" s="202">
        <v>9</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873</v>
      </c>
      <c r="AZ11" s="127">
        <f t="shared" si="1"/>
        <v>429</v>
      </c>
      <c r="BA11" s="127">
        <f t="shared" si="1"/>
        <v>453</v>
      </c>
      <c r="BB11" s="127">
        <f t="shared" si="1"/>
        <v>849</v>
      </c>
      <c r="BC11" s="125">
        <f>IF(ISNUMBER(X11),X11," - ")</f>
        <v>189</v>
      </c>
      <c r="BD11" s="126">
        <f t="shared" ref="BD11:BD12" si="2">IF(ISNUMBER(BA11/AZ11),BA11/AZ11," - ")</f>
        <v>1.055944055944056</v>
      </c>
      <c r="BE11" s="127">
        <f t="shared" ref="BE11:BE12" si="3">IF(ISNUMBER(BB11/BA11),BB11/BA11, " - ")</f>
        <v>1.8741721854304636</v>
      </c>
      <c r="BF11" s="127">
        <f t="shared" ref="BF11:BF12" si="4">IF(ISNUMBER(BC11/BA11),BC11/BA11, " - ")</f>
        <v>0.41721854304635764</v>
      </c>
      <c r="BG11" s="195">
        <f t="shared" ref="BG11:BG12" si="5">IF(ISNUMBER((AY11+AZ11)/BA11),(AY11+AZ11)/BA11," - ")</f>
        <v>2.8741721854304636</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0</v>
      </c>
      <c r="M12" s="182">
        <v>0</v>
      </c>
      <c r="N12" s="182">
        <v>0</v>
      </c>
      <c r="O12" s="180">
        <v>0</v>
      </c>
      <c r="P12" s="182">
        <v>0</v>
      </c>
      <c r="Q12" s="182">
        <v>0</v>
      </c>
      <c r="R12" s="182">
        <v>49</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4218</v>
      </c>
      <c r="J13" s="183">
        <f t="shared" si="6"/>
        <v>2111</v>
      </c>
      <c r="K13" s="183">
        <f t="shared" si="6"/>
        <v>2325</v>
      </c>
      <c r="L13" s="183">
        <f t="shared" si="6"/>
        <v>4003</v>
      </c>
      <c r="M13" s="183">
        <f t="shared" si="6"/>
        <v>750</v>
      </c>
      <c r="N13" s="183">
        <f t="shared" si="6"/>
        <v>1074</v>
      </c>
      <c r="O13" s="183">
        <f t="shared" si="6"/>
        <v>1378</v>
      </c>
      <c r="P13" s="183">
        <f t="shared" si="6"/>
        <v>971</v>
      </c>
      <c r="Q13" s="183">
        <f t="shared" si="6"/>
        <v>1364</v>
      </c>
      <c r="R13" s="183">
        <f t="shared" si="6"/>
        <v>10481</v>
      </c>
      <c r="S13" s="183">
        <f t="shared" si="6"/>
        <v>6436</v>
      </c>
      <c r="T13" s="183">
        <f t="shared" si="6"/>
        <v>2959</v>
      </c>
      <c r="U13" s="183">
        <f t="shared" si="6"/>
        <v>3317</v>
      </c>
      <c r="V13" s="183">
        <f t="shared" si="6"/>
        <v>6078</v>
      </c>
      <c r="W13" s="183">
        <f t="shared" si="6"/>
        <v>1223</v>
      </c>
      <c r="X13" s="183">
        <f t="shared" si="6"/>
        <v>1099</v>
      </c>
      <c r="Y13" s="183">
        <f t="shared" si="6"/>
        <v>147</v>
      </c>
      <c r="Z13" s="183">
        <f t="shared" si="6"/>
        <v>288</v>
      </c>
      <c r="AA13" s="183">
        <f t="shared" si="6"/>
        <v>273</v>
      </c>
      <c r="AB13" s="183">
        <f t="shared" si="6"/>
        <v>162</v>
      </c>
      <c r="AC13" s="183">
        <f t="shared" si="6"/>
        <v>0</v>
      </c>
      <c r="AD13" s="183">
        <f t="shared" si="6"/>
        <v>0</v>
      </c>
      <c r="AE13" s="183">
        <f t="shared" si="6"/>
        <v>0</v>
      </c>
      <c r="AF13" s="183">
        <f>SUBTOTAL(9,AF9:AF12)</f>
        <v>0</v>
      </c>
      <c r="AG13" s="183">
        <f t="shared" ref="AG13:AT13" si="7">SUBTOTAL(9,AG8:AG12)</f>
        <v>54</v>
      </c>
      <c r="AH13" s="183">
        <f t="shared" si="7"/>
        <v>143</v>
      </c>
      <c r="AI13" s="183">
        <f t="shared" si="7"/>
        <v>147</v>
      </c>
      <c r="AJ13" s="183">
        <f t="shared" si="7"/>
        <v>50</v>
      </c>
      <c r="AK13" s="183">
        <f t="shared" si="7"/>
        <v>0</v>
      </c>
      <c r="AL13" s="183">
        <f t="shared" si="7"/>
        <v>0</v>
      </c>
      <c r="AM13" s="183">
        <f t="shared" si="7"/>
        <v>0</v>
      </c>
      <c r="AN13" s="183">
        <f t="shared" si="7"/>
        <v>0</v>
      </c>
      <c r="AO13" s="183">
        <f t="shared" si="7"/>
        <v>8</v>
      </c>
      <c r="AP13" s="183">
        <f t="shared" si="7"/>
        <v>8</v>
      </c>
      <c r="AQ13" s="183">
        <f t="shared" si="7"/>
        <v>8</v>
      </c>
      <c r="AR13" s="183">
        <f t="shared" si="7"/>
        <v>8</v>
      </c>
      <c r="AS13" s="183">
        <f t="shared" si="7"/>
        <v>0</v>
      </c>
      <c r="AT13" s="183">
        <f t="shared" si="7"/>
        <v>0</v>
      </c>
      <c r="AU13" s="203"/>
      <c r="AV13" s="132"/>
      <c r="AW13" s="203"/>
      <c r="AX13" s="132"/>
      <c r="AY13" s="183">
        <f>SUBTOTAL(9,AY8:AY12)</f>
        <v>6490</v>
      </c>
      <c r="AZ13" s="183">
        <f>SUBTOTAL(9,AZ8:AZ12)</f>
        <v>3102</v>
      </c>
      <c r="BA13" s="183">
        <f>SUBTOTAL(9,BA8:BA12)</f>
        <v>3464</v>
      </c>
      <c r="BB13" s="183">
        <f>SUBTOTAL(9,BB8:BB12)</f>
        <v>6128</v>
      </c>
      <c r="BC13" s="183">
        <f>SUBTOTAL(9,BC8:BC12)</f>
        <v>1110</v>
      </c>
      <c r="BD13" s="204">
        <f>IF(ISNUMBER(BA13/AZ13),BA13/AZ13," - ")</f>
        <v>1.1166989039329465</v>
      </c>
      <c r="BE13" s="205">
        <f>IF(ISNUMBER(BB13/BA13),BB13/BA13, " - ")</f>
        <v>1.7690531177829099</v>
      </c>
      <c r="BF13" s="205">
        <f>IF(ISNUMBER(BC13/BA13),BC13/BA13, " - ")</f>
        <v>0.32043879907621248</v>
      </c>
      <c r="BG13" s="206">
        <f>IF(ISNUMBER((AY13+AZ13)/BA13),(AY13+AZ13)/BA13," - ")</f>
        <v>2.7690531177829101</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2655</v>
      </c>
      <c r="J15" s="182">
        <v>2071</v>
      </c>
      <c r="K15" s="182">
        <v>1985</v>
      </c>
      <c r="L15" s="182">
        <v>2741</v>
      </c>
      <c r="M15" s="182">
        <v>354</v>
      </c>
      <c r="N15" s="182">
        <v>1055</v>
      </c>
      <c r="O15" s="180">
        <v>52</v>
      </c>
      <c r="P15" s="182">
        <v>102</v>
      </c>
      <c r="Q15" s="182">
        <v>122</v>
      </c>
      <c r="R15" s="182">
        <v>333</v>
      </c>
      <c r="S15" s="182">
        <v>3023</v>
      </c>
      <c r="T15" s="182">
        <v>2059</v>
      </c>
      <c r="U15" s="182">
        <v>2675</v>
      </c>
      <c r="V15" s="182">
        <v>2453</v>
      </c>
      <c r="W15" s="182">
        <v>363</v>
      </c>
      <c r="X15" s="188">
        <v>1415</v>
      </c>
      <c r="Y15" s="201">
        <v>0</v>
      </c>
      <c r="Z15" s="182">
        <v>0</v>
      </c>
      <c r="AA15" s="182">
        <v>0</v>
      </c>
      <c r="AB15" s="182">
        <v>0</v>
      </c>
      <c r="AC15" s="182">
        <v>3</v>
      </c>
      <c r="AD15" s="182">
        <v>26</v>
      </c>
      <c r="AE15" s="182">
        <v>26</v>
      </c>
      <c r="AF15" s="188">
        <v>3</v>
      </c>
      <c r="AG15" s="201">
        <v>0</v>
      </c>
      <c r="AH15" s="182">
        <v>0</v>
      </c>
      <c r="AI15" s="182">
        <v>0</v>
      </c>
      <c r="AJ15" s="202">
        <v>0</v>
      </c>
      <c r="AK15" s="181">
        <v>10</v>
      </c>
      <c r="AL15" s="182">
        <v>27</v>
      </c>
      <c r="AM15" s="182">
        <v>34</v>
      </c>
      <c r="AN15" s="188">
        <v>3</v>
      </c>
      <c r="AO15" s="258">
        <v>3</v>
      </c>
      <c r="AP15" s="154">
        <v>3</v>
      </c>
      <c r="AQ15" s="154">
        <v>3</v>
      </c>
      <c r="AR15" s="154">
        <v>3</v>
      </c>
      <c r="AS15" s="339" t="s">
        <v>517</v>
      </c>
      <c r="AT15" s="202" t="s">
        <v>322</v>
      </c>
      <c r="AU15" s="201"/>
      <c r="AV15" s="202"/>
      <c r="AW15" s="201"/>
      <c r="AX15" s="202"/>
      <c r="AY15" s="128">
        <f t="shared" ref="AY15:BB16" si="9">IF(ISNUMBER(IF(D_I="SI",S15,S15+AK15)),IF(D_I="SI",S15,S15+AK15)," - ")</f>
        <v>3023</v>
      </c>
      <c r="AZ15" s="129">
        <f t="shared" si="9"/>
        <v>2059</v>
      </c>
      <c r="BA15" s="129">
        <f t="shared" si="9"/>
        <v>2675</v>
      </c>
      <c r="BB15" s="129">
        <f t="shared" si="9"/>
        <v>2453</v>
      </c>
      <c r="BC15" s="125">
        <f>IF(ISNUMBER(W15),W15," - ")</f>
        <v>363</v>
      </c>
      <c r="BD15" s="126">
        <f>IF(ISNUMBER(BA15/AZ15),BA15/AZ15," - ")</f>
        <v>1.2991743564837299</v>
      </c>
      <c r="BE15" s="127">
        <f>IF(ISNUMBER(BB15/BA15),BB15/BA15, " - ")</f>
        <v>0.91700934579439253</v>
      </c>
      <c r="BF15" s="127">
        <f>IF(ISNUMBER(BC15/BA15),BC15/BA15, " - ")</f>
        <v>0.13570093457943924</v>
      </c>
      <c r="BG15" s="195">
        <f t="shared" ref="BG15:BG16" si="10">IF(ISNUMBER((AY15+AZ15)/BA15),(AY15+AZ15)/BA15," - ")</f>
        <v>1.8998130841121494</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475</v>
      </c>
      <c r="J17" s="182">
        <v>348</v>
      </c>
      <c r="K17" s="182">
        <v>307</v>
      </c>
      <c r="L17" s="182">
        <v>516</v>
      </c>
      <c r="M17" s="182">
        <v>51</v>
      </c>
      <c r="N17" s="182">
        <v>125</v>
      </c>
      <c r="O17" s="182">
        <v>0</v>
      </c>
      <c r="P17" s="182">
        <v>7</v>
      </c>
      <c r="Q17" s="182">
        <v>11</v>
      </c>
      <c r="R17" s="182">
        <v>7</v>
      </c>
      <c r="S17" s="182">
        <v>344</v>
      </c>
      <c r="T17" s="182">
        <v>332</v>
      </c>
      <c r="U17" s="182">
        <v>245</v>
      </c>
      <c r="V17" s="182">
        <v>431</v>
      </c>
      <c r="W17" s="182">
        <v>23</v>
      </c>
      <c r="X17" s="188">
        <v>79</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344</v>
      </c>
      <c r="AZ17" s="129">
        <f t="shared" si="14"/>
        <v>332</v>
      </c>
      <c r="BA17" s="129">
        <f t="shared" si="14"/>
        <v>245</v>
      </c>
      <c r="BB17" s="129">
        <f t="shared" si="14"/>
        <v>431</v>
      </c>
      <c r="BC17" s="125">
        <f>IF(ISNUMBER(W17),W17," - ")</f>
        <v>23</v>
      </c>
      <c r="BD17" s="126">
        <f>IF(ISNUMBER(BA17/AZ17),BA17/AZ17," - ")</f>
        <v>0.73795180722891562</v>
      </c>
      <c r="BE17" s="127">
        <f>IF(ISNUMBER(BB17/BA17),BB17/BA17, " - ")</f>
        <v>1.7591836734693878</v>
      </c>
      <c r="BF17" s="127">
        <f>IF(ISNUMBER(BC17/BA17),BC17/BA17, " - ")</f>
        <v>9.3877551020408165E-2</v>
      </c>
      <c r="BG17" s="195">
        <f>IF(ISNUMBER((AY17+AZ17)/BA17),(AY17+AZ17)/BA17," - ")</f>
        <v>2.759183673469388</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3130</v>
      </c>
      <c r="J18" s="183">
        <f t="shared" si="15"/>
        <v>2419</v>
      </c>
      <c r="K18" s="183">
        <f t="shared" si="15"/>
        <v>2292</v>
      </c>
      <c r="L18" s="183">
        <f t="shared" si="15"/>
        <v>3257</v>
      </c>
      <c r="M18" s="183">
        <f t="shared" si="15"/>
        <v>405</v>
      </c>
      <c r="N18" s="183">
        <f t="shared" si="15"/>
        <v>1180</v>
      </c>
      <c r="O18" s="183">
        <f t="shared" si="15"/>
        <v>52</v>
      </c>
      <c r="P18" s="183">
        <f t="shared" si="15"/>
        <v>109</v>
      </c>
      <c r="Q18" s="183">
        <f t="shared" si="15"/>
        <v>133</v>
      </c>
      <c r="R18" s="183">
        <f t="shared" si="15"/>
        <v>340</v>
      </c>
      <c r="S18" s="183">
        <f t="shared" si="15"/>
        <v>3367</v>
      </c>
      <c r="T18" s="183">
        <f t="shared" si="15"/>
        <v>2391</v>
      </c>
      <c r="U18" s="183">
        <f t="shared" si="15"/>
        <v>2920</v>
      </c>
      <c r="V18" s="183">
        <f t="shared" si="15"/>
        <v>2884</v>
      </c>
      <c r="W18" s="183">
        <f t="shared" si="15"/>
        <v>386</v>
      </c>
      <c r="X18" s="183">
        <f t="shared" si="15"/>
        <v>1494</v>
      </c>
      <c r="Y18" s="183">
        <f t="shared" si="15"/>
        <v>0</v>
      </c>
      <c r="Z18" s="183">
        <f t="shared" si="15"/>
        <v>0</v>
      </c>
      <c r="AA18" s="183">
        <f t="shared" si="15"/>
        <v>0</v>
      </c>
      <c r="AB18" s="183">
        <f t="shared" si="15"/>
        <v>0</v>
      </c>
      <c r="AC18" s="183">
        <f t="shared" si="15"/>
        <v>3</v>
      </c>
      <c r="AD18" s="183">
        <f t="shared" si="15"/>
        <v>26</v>
      </c>
      <c r="AE18" s="183">
        <f t="shared" si="15"/>
        <v>26</v>
      </c>
      <c r="AF18" s="183">
        <f t="shared" si="15"/>
        <v>3</v>
      </c>
      <c r="AG18" s="183">
        <f t="shared" si="15"/>
        <v>0</v>
      </c>
      <c r="AH18" s="183">
        <f t="shared" si="15"/>
        <v>0</v>
      </c>
      <c r="AI18" s="183">
        <f t="shared" si="15"/>
        <v>0</v>
      </c>
      <c r="AJ18" s="183">
        <f t="shared" si="15"/>
        <v>0</v>
      </c>
      <c r="AK18" s="183">
        <f t="shared" si="15"/>
        <v>10</v>
      </c>
      <c r="AL18" s="183">
        <f t="shared" si="15"/>
        <v>27</v>
      </c>
      <c r="AM18" s="183">
        <f t="shared" si="15"/>
        <v>34</v>
      </c>
      <c r="AN18" s="183">
        <f t="shared" si="15"/>
        <v>3</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3367</v>
      </c>
      <c r="AZ18" s="183">
        <f>SUBTOTAL(9,AZ14:AZ17)</f>
        <v>2391</v>
      </c>
      <c r="BA18" s="183">
        <f>SUBTOTAL(9,BA14:BA17)</f>
        <v>2920</v>
      </c>
      <c r="BB18" s="183">
        <f>SUBTOTAL(9,BB14:BB17)</f>
        <v>2884</v>
      </c>
      <c r="BC18" s="183">
        <f>SUBTOTAL(9,BC14:BC17)</f>
        <v>386</v>
      </c>
      <c r="BD18" s="204">
        <f>IF(ISNUMBER(BA18/AZ18),BA18/AZ18," - ")</f>
        <v>1.2212463404433291</v>
      </c>
      <c r="BE18" s="205">
        <f>IF(ISNUMBER(BB18/BA18),BB18/BA18, " - ")</f>
        <v>0.98767123287671232</v>
      </c>
      <c r="BF18" s="205">
        <f>IF(ISNUMBER(BC18/BA18),BC18/BA18, " - ")</f>
        <v>0.13219178082191782</v>
      </c>
      <c r="BG18" s="206">
        <f>IF(ISNUMBER((AY18+AZ18)/BA18),(AY18+AZ18)/BA18," - ")</f>
        <v>1.9719178082191782</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7348</v>
      </c>
      <c r="J19" s="134">
        <f t="shared" si="18"/>
        <v>4530</v>
      </c>
      <c r="K19" s="134">
        <f t="shared" si="18"/>
        <v>4617</v>
      </c>
      <c r="L19" s="134">
        <f t="shared" si="18"/>
        <v>7260</v>
      </c>
      <c r="M19" s="134">
        <f t="shared" si="18"/>
        <v>1155</v>
      </c>
      <c r="N19" s="134">
        <f t="shared" si="18"/>
        <v>2254</v>
      </c>
      <c r="O19" s="134">
        <f t="shared" si="18"/>
        <v>1430</v>
      </c>
      <c r="P19" s="134">
        <f t="shared" si="18"/>
        <v>1080</v>
      </c>
      <c r="Q19" s="134">
        <f t="shared" si="18"/>
        <v>1497</v>
      </c>
      <c r="R19" s="134">
        <f t="shared" si="18"/>
        <v>10821</v>
      </c>
      <c r="S19" s="134">
        <f t="shared" si="18"/>
        <v>9803</v>
      </c>
      <c r="T19" s="134">
        <f t="shared" si="18"/>
        <v>5350</v>
      </c>
      <c r="U19" s="134">
        <f t="shared" si="18"/>
        <v>6237</v>
      </c>
      <c r="V19" s="134">
        <f t="shared" si="18"/>
        <v>8962</v>
      </c>
      <c r="W19" s="134">
        <f t="shared" si="18"/>
        <v>1609</v>
      </c>
      <c r="X19" s="134">
        <f t="shared" si="18"/>
        <v>2593</v>
      </c>
      <c r="Y19" s="134">
        <f t="shared" si="18"/>
        <v>147</v>
      </c>
      <c r="Z19" s="134">
        <f t="shared" si="18"/>
        <v>288</v>
      </c>
      <c r="AA19" s="134">
        <f t="shared" si="18"/>
        <v>273</v>
      </c>
      <c r="AB19" s="134">
        <f t="shared" si="18"/>
        <v>162</v>
      </c>
      <c r="AC19" s="134">
        <f t="shared" si="18"/>
        <v>3</v>
      </c>
      <c r="AD19" s="134">
        <f t="shared" si="18"/>
        <v>26</v>
      </c>
      <c r="AE19" s="134">
        <f t="shared" si="18"/>
        <v>26</v>
      </c>
      <c r="AF19" s="134">
        <f t="shared" si="18"/>
        <v>3</v>
      </c>
      <c r="AG19" s="134">
        <f t="shared" si="18"/>
        <v>54</v>
      </c>
      <c r="AH19" s="134">
        <f t="shared" si="18"/>
        <v>143</v>
      </c>
      <c r="AI19" s="134">
        <f t="shared" si="18"/>
        <v>147</v>
      </c>
      <c r="AJ19" s="134">
        <f t="shared" si="18"/>
        <v>50</v>
      </c>
      <c r="AK19" s="134">
        <f t="shared" si="18"/>
        <v>10</v>
      </c>
      <c r="AL19" s="134">
        <f t="shared" si="18"/>
        <v>27</v>
      </c>
      <c r="AM19" s="134">
        <f t="shared" si="18"/>
        <v>34</v>
      </c>
      <c r="AN19" s="209">
        <f t="shared" si="18"/>
        <v>3</v>
      </c>
      <c r="AO19" s="210">
        <v>11</v>
      </c>
      <c r="AP19" s="210">
        <v>11</v>
      </c>
      <c r="AQ19" s="210">
        <v>11</v>
      </c>
      <c r="AR19" s="210">
        <v>11</v>
      </c>
      <c r="AS19" s="152">
        <f t="shared" si="18"/>
        <v>0</v>
      </c>
      <c r="AT19" s="152">
        <f t="shared" si="18"/>
        <v>0</v>
      </c>
      <c r="AU19" s="210"/>
      <c r="AV19" s="211"/>
      <c r="AW19" s="210"/>
      <c r="AX19" s="211"/>
      <c r="AY19" s="133">
        <f>SUBTOTAL(9,AY9:AY18)</f>
        <v>9857</v>
      </c>
      <c r="AZ19" s="134">
        <f>SUBTOTAL(9,AZ9:AZ18)</f>
        <v>5493</v>
      </c>
      <c r="BA19" s="134">
        <f>SUBTOTAL(9,BA9:BA18)</f>
        <v>6384</v>
      </c>
      <c r="BB19" s="134">
        <f>SUBTOTAL(9,BB9:BB18)</f>
        <v>9012</v>
      </c>
      <c r="BC19" s="135">
        <f>SUBTOTAL(9,BC9:BC18)</f>
        <v>1496</v>
      </c>
      <c r="BD19" s="212">
        <f>IF(ISNUMBER(BA19/AZ19),BA19/AZ19," - ")</f>
        <v>1.1622064445658111</v>
      </c>
      <c r="BE19" s="209">
        <f>IF(ISNUMBER(BB19/BA19),BB19/BA19, " - ")</f>
        <v>1.4116541353383458</v>
      </c>
      <c r="BF19" s="209">
        <f>IF(ISNUMBER(BC19/BA19),BC19/BA19, " - ")</f>
        <v>0.23433583959899748</v>
      </c>
      <c r="BG19" s="135">
        <f>IF(ISNUMBER((AY19+AZ19)/BA19),(AY19+AZ19)/BA19," - ")</f>
        <v>2.4044486215538847</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DcAojNOpMxuTNTnZGukJRpSlDSG+d+VlRMQxUZ640lZg+OYBDWRHZyynkak2bVB+9aSrSmMgLgAbxPRBLIHRg==" saltValue="B9tiIo/yHvHHCJyjx6trf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SESMaig6INqmj590c2zDZDe1T6gsBqQRV6DXgTSZrZkVBA5wm51MdqUlhe90i2VxHp7Yll9KyHFhCScTxwSg==" saltValue="vP/yVvqE4EXaq/qdHOAsm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LOGROÑO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185</v>
      </c>
      <c r="O9" s="333"/>
      <c r="P9" s="333"/>
      <c r="Q9" s="225">
        <f>IF(ISNUMBER(Datos!P9),Datos!P9,0)</f>
        <v>921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1079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154</v>
      </c>
      <c r="AI9" s="333" t="str">
        <f>IF(ISNUMBER(Datos!CD9),Datos!CD9,"-")</f>
        <v>-</v>
      </c>
      <c r="AJ9" s="333" t="str">
        <f>IF(ISNUMBER(Datos!EN9),Datos!EN9," - ")</f>
        <v xml:space="preserve"> - </v>
      </c>
      <c r="AK9" s="333"/>
      <c r="AL9" s="478"/>
      <c r="AM9" s="334">
        <f>IF(ISNUMBER(Datos!R9),Datos!R9," - ")</f>
        <v>9962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586</v>
      </c>
      <c r="BD9" s="228">
        <f>IF(ISNUMBER(Datos!N9),Datos!N9," - ")</f>
        <v>804</v>
      </c>
      <c r="BE9" s="228" t="str">
        <f>IF(ISNUMBER(Datos!BW9),Datos!BW9," - ")</f>
        <v xml:space="preserve"> - </v>
      </c>
      <c r="BF9" s="227" t="str">
        <f>IF(ISNUMBER(Datos!BX9),Datos!BX9," - ")</f>
        <v xml:space="preserve"> - </v>
      </c>
      <c r="BG9" s="242">
        <f>IF(ISNUMBER(IF(J_V="SI",Datos!K9/Datos!J9,(Datos!K9+Datos!AA9)/(Datos!J9+Datos!Z9))),IF(J_V="SI",Datos!K9/Datos!J9,(Datos!K9+Datos!AA9)/(Datos!J9+Datos!Z9))," - ")</f>
        <v>1.1044546850998465</v>
      </c>
      <c r="BH9" s="259">
        <f>IF(ISNUMBER(((IF(J_V="SI",Datos!L9/Datos!K9,(Datos!L9+Datos!AB9)/(Datos!K9+Datos!AA9)))*11)/factor_trimestre),((IF(J_V="SI",Datos!L9/Datos!K9,(Datos!L9+Datos!AB9)/(Datos!K9+Datos!AA9)))*11)/factor_trimestre," - ")</f>
        <v>4.5591098748261478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-1.5612648221343874E-2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145</v>
      </c>
      <c r="G10" s="332">
        <f>IF(ISNUMBER(Datos!I10),Datos!I10," - ")</f>
        <v>145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44</v>
      </c>
      <c r="AC10" s="225">
        <f>IF(ISNUMBER(Datos!Q10),Datos!Q10," - ")</f>
        <v>15</v>
      </c>
      <c r="AD10" s="333"/>
      <c r="AE10" s="483"/>
      <c r="AF10" s="331">
        <f>IF(ISNUMBER(Datos!L10),Datos!L10,"-")</f>
        <v>163</v>
      </c>
      <c r="AG10" s="333"/>
      <c r="AH10" s="333"/>
      <c r="AI10" s="333"/>
      <c r="AJ10" s="333"/>
      <c r="AK10" s="333"/>
      <c r="AL10" s="478"/>
      <c r="AM10" s="334">
        <f>IF(ISNUMBER(Datos!R10),Datos!R10," - ")</f>
        <v>192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17</v>
      </c>
      <c r="BD10" s="228">
        <f>IF(ISNUMBER(Datos!N10),Datos!N10," - ")</f>
        <v>32</v>
      </c>
      <c r="BE10" s="228" t="str">
        <f>IF(ISNUMBER(Datos!BW10),Datos!BW10," - ")</f>
        <v xml:space="preserve"> - </v>
      </c>
      <c r="BF10" s="227" t="str">
        <f>IF(ISNUMBER(Datos!BX10),Datos!BX10," - ")</f>
        <v xml:space="preserve"> - </v>
      </c>
      <c r="BG10" s="242">
        <f>IF(ISNUMBER(Datos!K10/Datos!J10),Datos!K10/Datos!J10," - ")</f>
        <v>0.70967741935483875</v>
      </c>
      <c r="BH10" s="259">
        <f>IF(ISNUMBER(((Datos!L10/Datos!K10)*11)/factor_trimestre),((Datos!L10/Datos!K10)*11)/factor_trimestre," - ")</f>
        <v>11.113636363636363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5.235602094240838E-3</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103</v>
      </c>
      <c r="O11" s="333"/>
      <c r="P11" s="333"/>
      <c r="Q11" s="225">
        <f>IF(ISNUMBER(Datos!P11),Datos!P11,0)</f>
        <v>34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270</v>
      </c>
      <c r="AD11" s="333"/>
      <c r="AE11" s="483"/>
      <c r="AF11" s="331" t="str">
        <f>IF(ISNUMBER(IF(J_V="SI",Datos!L11,Datos!L11+Datos!AB11)-IF(Monitorios="SI",Datos!CD11,0)),
                          IF(J_V="SI",Datos!L11,Datos!L11+Datos!AB11)-IF(Monitorios="SI",Datos!CD11,0),
                          " - ")</f>
        <v xml:space="preserve"> - </v>
      </c>
      <c r="AG11" s="333"/>
      <c r="AH11" s="333">
        <f>IF(ISNUMBER(Datos!AB11),Datos!AB11,"-")</f>
        <v>8</v>
      </c>
      <c r="AI11" s="333"/>
      <c r="AJ11" s="333"/>
      <c r="AK11" s="333"/>
      <c r="AL11" s="478"/>
      <c r="AM11" s="334">
        <f>IF(ISNUMBER(Datos!R11),Datos!R11," - ")</f>
        <v>278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147</v>
      </c>
      <c r="BD11" s="228">
        <f>IF(ISNUMBER(Datos!N11),Datos!N11," - ")</f>
        <v>238</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1.0338541666666667</v>
      </c>
      <c r="BH11" s="259">
        <f>IF(ISNUMBER(((IF(J_V="SI",Datos!L11/Datos!K11,(Datos!L11+Datos!AB11)/(Datos!K11+Datos!AA11)))*11)/factor_trimestre),((IF(J_V="SI",Datos!L11/Datos!K11,(Datos!L11+Datos!AB11)/(Datos!K11+Datos!AA11)))*11)/factor_trimestre," - ")</f>
        <v>5.4710327455919394</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-0.45914396887159531</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8</v>
      </c>
      <c r="F13" s="897">
        <f t="shared" si="0"/>
        <v>145</v>
      </c>
      <c r="G13" s="897">
        <f t="shared" si="0"/>
        <v>145</v>
      </c>
      <c r="H13" s="898">
        <f t="shared" si="0"/>
        <v>0</v>
      </c>
      <c r="I13" s="897">
        <f t="shared" si="0"/>
        <v>0</v>
      </c>
      <c r="J13" s="866">
        <f t="shared" si="0"/>
        <v>0</v>
      </c>
      <c r="K13" s="866">
        <f t="shared" si="0"/>
        <v>0</v>
      </c>
      <c r="L13" s="898">
        <f t="shared" si="0"/>
        <v>0</v>
      </c>
      <c r="M13" s="898">
        <f t="shared" si="0"/>
        <v>0</v>
      </c>
      <c r="N13" s="898">
        <f t="shared" si="0"/>
        <v>288</v>
      </c>
      <c r="O13" s="899">
        <f t="shared" si="0"/>
        <v>0</v>
      </c>
      <c r="P13" s="899">
        <f t="shared" si="0"/>
        <v>0</v>
      </c>
      <c r="Q13" s="898">
        <f t="shared" si="0"/>
        <v>971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44</v>
      </c>
      <c r="AC13" s="898">
        <f t="shared" si="1"/>
        <v>1364</v>
      </c>
      <c r="AD13" s="898">
        <f t="shared" si="1"/>
        <v>0</v>
      </c>
      <c r="AE13" s="898">
        <f t="shared" si="1"/>
        <v>0</v>
      </c>
      <c r="AF13" s="898">
        <f t="shared" si="1"/>
        <v>163</v>
      </c>
      <c r="AG13" s="898">
        <f t="shared" si="1"/>
        <v>0</v>
      </c>
      <c r="AH13" s="898">
        <f t="shared" si="1"/>
        <v>162</v>
      </c>
      <c r="AI13" s="898">
        <f t="shared" si="1"/>
        <v>0</v>
      </c>
      <c r="AJ13" s="898">
        <f t="shared" si="1"/>
        <v>0</v>
      </c>
      <c r="AK13" s="898">
        <f t="shared" si="1"/>
        <v>0</v>
      </c>
      <c r="AL13" s="898">
        <f t="shared" si="1"/>
        <v>0</v>
      </c>
      <c r="AM13" s="898">
        <f t="shared" si="1"/>
        <v>10481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750</v>
      </c>
      <c r="BD13" s="898">
        <f t="shared" si="1"/>
        <v>1074</v>
      </c>
      <c r="BE13" s="898">
        <f t="shared" si="1"/>
        <v>0</v>
      </c>
      <c r="BF13" s="898">
        <f t="shared" si="1"/>
        <v>0</v>
      </c>
      <c r="BG13" s="898">
        <f>IF(ISNUMBER(Datos!K13/Datos!J13),Datos!K13/Datos!J13," - ")</f>
        <v>1.1013737565135007</v>
      </c>
      <c r="BH13" s="902">
        <f>IF(ISNUMBER(((Datos!L13/Datos!K13)*11)/factor_trimestre),((Datos!L13/Datos!K13)*11)/factor_trimestre," - ")</f>
        <v>5.1651612903225805</v>
      </c>
      <c r="BI13" s="898">
        <f>IF(ISNUMBER('Resol  Asuntos'!D13/NºAsuntos!G13),'Resol  Asuntos'!D13/NºAsuntos!G13," - ")</f>
        <v>0.28868360277136257</v>
      </c>
      <c r="BJ13" s="898" t="str">
        <f>IF(ISNUMBER(Datos!CI13/Datos!CJ13),Datos!CI13/Datos!CJ13," - ")</f>
        <v xml:space="preserve"> - </v>
      </c>
      <c r="BK13" s="898">
        <f>SUBTOTAL(9,BK8:BK12)</f>
        <v>0</v>
      </c>
      <c r="BL13" s="898">
        <f>IF(ISNUMBER((I13-AB13+L13)/(F13)),(I13-AB13+L13)/(F13)," - ")</f>
        <v>-0.30344827586206896</v>
      </c>
      <c r="BM13" s="903">
        <f>SUBTOTAL(9,BM9:BM12)</f>
        <v>-0.46952101499869836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2655</v>
      </c>
      <c r="G15" s="597">
        <f>IF(ISNUMBER(IF(D_I="SI",Datos!I15,Datos!I15+Datos!AC15)),IF(D_I="SI",Datos!I15,Datos!I15+Datos!AC15)," - ")</f>
        <v>2655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102</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1985</v>
      </c>
      <c r="AC15" s="225">
        <f>IF(ISNUMBER(Datos!Q15),Datos!Q15," - ")</f>
        <v>122</v>
      </c>
      <c r="AD15" s="333"/>
      <c r="AE15" s="483"/>
      <c r="AF15" s="595">
        <f>IF(ISNUMBER(IF(D_I="SI",Datos!L15,Datos!L15+Datos!AF15)),IF(D_I="SI",Datos!L15,Datos!L15+Datos!AF15)," - ")</f>
        <v>2741</v>
      </c>
      <c r="AG15" s="333"/>
      <c r="AH15" s="333"/>
      <c r="AI15" s="333"/>
      <c r="AJ15" s="333"/>
      <c r="AK15" s="333"/>
      <c r="AL15" s="478"/>
      <c r="AM15" s="334">
        <f>IF(ISNUMBER(Datos!R15),Datos!R15," - ")</f>
        <v>333</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354</v>
      </c>
      <c r="BD15" s="228">
        <f>IF(ISNUMBER(Datos!N15),Datos!N15," - ")</f>
        <v>1055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0.95847416706904875</v>
      </c>
      <c r="BH15" s="259">
        <f>IF(ISNUMBER(((IF(D_I="SI",Datos!L15/Datos!K15,(Datos!L15+Datos!AF15)/(Datos!K15+Datos!AE15)))*11)/factor_trimestre),((IF(D_I="SI",Datos!L15/Datos!K15,(Datos!L15+Datos!AF15)/(Datos!K15+Datos!AE15)))*11)/factor_trimestre," - ")</f>
        <v>4.1425692695214105</v>
      </c>
      <c r="BI15" s="242">
        <f>IF(ISNUMBER('Resol  Asuntos'!D15/NºAsuntos!G15),'Resol  Asuntos'!D15/NºAsuntos!G15," - ")</f>
        <v>0.17833753148614609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475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307</v>
      </c>
      <c r="AC17" s="225">
        <f>IF(ISNUMBER(Datos!Q17),Datos!Q17," - ")</f>
        <v>11</v>
      </c>
      <c r="AD17" s="333"/>
      <c r="AE17" s="483"/>
      <c r="AF17" s="331">
        <f>IF(ISNUMBER(Datos!L17),Datos!L17,"-")</f>
        <v>516</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51</v>
      </c>
      <c r="BD17" s="228">
        <f>IF(ISNUMBER(Datos!N17),Datos!N17," - ")</f>
        <v>125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0.88218390804597702</v>
      </c>
      <c r="BH17" s="259">
        <f>IF(ISNUMBER(((IF(D_I="SI",Datos!L17/Datos!K17,(Datos!L17+Datos!AF17)/(Datos!K17+Datos!AE17)))*11)/factor_trimestre),((IF(D_I="SI",Datos!L17/Datos!K17,(Datos!L17+Datos!AF17)/(Datos!K17+Datos!AE17)))*11)/factor_trimestre," - ")</f>
        <v>5.0423452768729646</v>
      </c>
      <c r="BI17" s="242">
        <f>IF(ISNUMBER('Resol  Asuntos'!D17/NºAsuntos!G17),'Resol  Asuntos'!D17/NºAsuntos!G17," - ")</f>
        <v>0.16612377850162866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2655</v>
      </c>
      <c r="G18" s="897">
        <f>SUBTOTAL(9,G15:G17)</f>
        <v>3130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2292</v>
      </c>
      <c r="AC18" s="898">
        <f t="shared" si="4"/>
        <v>133</v>
      </c>
      <c r="AD18" s="898">
        <f t="shared" si="4"/>
        <v>0</v>
      </c>
      <c r="AE18" s="898">
        <f t="shared" si="4"/>
        <v>0</v>
      </c>
      <c r="AF18" s="898">
        <f t="shared" si="4"/>
        <v>3257</v>
      </c>
      <c r="AG18" s="898">
        <f t="shared" si="4"/>
        <v>0</v>
      </c>
      <c r="AH18" s="898">
        <f t="shared" si="4"/>
        <v>0</v>
      </c>
      <c r="AI18" s="898">
        <f t="shared" si="4"/>
        <v>0</v>
      </c>
      <c r="AJ18" s="898">
        <f t="shared" si="4"/>
        <v>0</v>
      </c>
      <c r="AK18" s="898">
        <f t="shared" si="4"/>
        <v>0</v>
      </c>
      <c r="AL18" s="898">
        <f t="shared" si="4"/>
        <v>0</v>
      </c>
      <c r="AM18" s="898">
        <f t="shared" si="4"/>
        <v>340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405</v>
      </c>
      <c r="BD18" s="898">
        <f t="shared" si="4"/>
        <v>1180</v>
      </c>
      <c r="BE18" s="898">
        <f t="shared" si="4"/>
        <v>0</v>
      </c>
      <c r="BF18" s="898">
        <f t="shared" si="4"/>
        <v>0</v>
      </c>
      <c r="BG18" s="898">
        <f>IF(ISNUMBER(Datos!K18/Datos!J18),Datos!K18/Datos!J18," - ")</f>
        <v>0.94749896651508891</v>
      </c>
      <c r="BH18" s="902">
        <f>IF(ISNUMBER(((Datos!L18/Datos!K18)*11)/factor_trimestre),((Datos!L18/Datos!K18)*11)/factor_trimestre," - ")</f>
        <v>4.2630890052356021</v>
      </c>
      <c r="BI18" s="898">
        <f>SUBTOTAL(9,BI15:BI17)</f>
        <v>0.34446130998777474</v>
      </c>
      <c r="BJ18" s="898">
        <f>SUBTOTAL(9,BJ15:BJ17)</f>
        <v>0</v>
      </c>
      <c r="BK18" s="898">
        <f>SUBTOTAL(9,BK15:BK17)</f>
        <v>0</v>
      </c>
      <c r="BL18" s="898">
        <f>IF(ISNUMBER((I18-AB18+L18)/(F18)),(I18-AB18+L18)/(F18)," - ")</f>
        <v>-0.86327683615819206</v>
      </c>
      <c r="BM18" s="904">
        <f>IF(ISNUMBER((Datos!P18-Datos!Q18)/(Datos!R18-Datos!P18+Datos!Q18)),(Datos!P18-Datos!Q18)/(Datos!R18-Datos!P18+Datos!Q18)," - ")</f>
        <v>-6.5934065934065936E-2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2800</v>
      </c>
      <c r="G19" s="819">
        <f t="shared" si="6"/>
        <v>3275</v>
      </c>
      <c r="H19" s="821">
        <f t="shared" si="6"/>
        <v>0</v>
      </c>
      <c r="I19" s="819">
        <f t="shared" si="6"/>
        <v>0</v>
      </c>
      <c r="J19" s="821">
        <f t="shared" si="6"/>
        <v>0</v>
      </c>
      <c r="K19" s="821">
        <f t="shared" si="6"/>
        <v>0</v>
      </c>
      <c r="L19" s="880">
        <f t="shared" si="6"/>
        <v>0</v>
      </c>
      <c r="M19" s="880">
        <f t="shared" si="6"/>
        <v>0</v>
      </c>
      <c r="N19" s="880">
        <f t="shared" si="6"/>
        <v>288</v>
      </c>
      <c r="O19" s="880">
        <f t="shared" si="6"/>
        <v>0</v>
      </c>
      <c r="P19" s="880">
        <f t="shared" si="6"/>
        <v>0</v>
      </c>
      <c r="Q19" s="821">
        <f t="shared" si="6"/>
        <v>1080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2336</v>
      </c>
      <c r="AC19" s="820">
        <f t="shared" si="7"/>
        <v>1497</v>
      </c>
      <c r="AD19" s="820">
        <f t="shared" si="7"/>
        <v>0</v>
      </c>
      <c r="AE19" s="820">
        <f t="shared" si="7"/>
        <v>0</v>
      </c>
      <c r="AF19" s="827">
        <f t="shared" si="7"/>
        <v>3420</v>
      </c>
      <c r="AG19" s="827">
        <f t="shared" si="7"/>
        <v>0</v>
      </c>
      <c r="AH19" s="827">
        <f t="shared" si="7"/>
        <v>162</v>
      </c>
      <c r="AI19" s="827">
        <f t="shared" si="7"/>
        <v>0</v>
      </c>
      <c r="AJ19" s="820">
        <f t="shared" si="7"/>
        <v>0</v>
      </c>
      <c r="AK19" s="827">
        <f t="shared" si="7"/>
        <v>0</v>
      </c>
      <c r="AL19" s="827">
        <f t="shared" si="7"/>
        <v>0</v>
      </c>
      <c r="AM19" s="827">
        <f t="shared" si="7"/>
        <v>10821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1155</v>
      </c>
      <c r="BD19" s="819">
        <f t="shared" si="7"/>
        <v>2254</v>
      </c>
      <c r="BE19" s="819">
        <f t="shared" si="7"/>
        <v>0</v>
      </c>
      <c r="BF19" s="829">
        <f t="shared" si="7"/>
        <v>0</v>
      </c>
      <c r="BG19" s="914">
        <f>IF(ISNUMBER(Datos!K19/Datos!J19),Datos!K19/Datos!J19," - ")</f>
        <v>1.0192052980132451</v>
      </c>
      <c r="BH19" s="914">
        <f>IF(ISNUMBER(((Datos!L19/Datos!K19)*11)/factor_trimestre),((Datos!L19/Datos!K19)*11)/factor_trimestre," - ")</f>
        <v>4.7173489278752436</v>
      </c>
      <c r="BI19" s="812">
        <f>IF(ISNUMBER(Datos!J19/Datos!I19),Datos!J19/Datos!I19," - ")</f>
        <v>0.6164942841589548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-0.8342857142857143</v>
      </c>
      <c r="BM19" s="888">
        <f>IF(ISNUMBER((Datos!P19-Datos!Q19+R19)/(Datos!R19-Datos!P19+Datos!Q19-R19)),(Datos!P19-Datos!Q19+R19)/(Datos!R19-Datos!P19+Datos!Q19-R19)," - ")</f>
        <v>-3.7106246663107315E-2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1310</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2.8284271247461903</v>
      </c>
      <c r="F21" s="550">
        <f>IF(ISNUMBER(STDEV(F8:F18)),STDEV(F8:F18),"-")</f>
        <v>1449.1491756659607</v>
      </c>
      <c r="G21" s="551">
        <f>IF(ISNUMBER(STDEV(G8:G18)),STDEV(G8:G18),"-")</f>
        <v>1460.5735174923582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1109.7401948203913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280.99911031887626</v>
      </c>
      <c r="BD21" s="550"/>
      <c r="BE21" s="550">
        <f>IF(ISNUMBER(STDEV(BE8:BE18)),STDEV(BE8:BE18),"-")</f>
        <v>0</v>
      </c>
      <c r="BF21" s="555">
        <f>IF(ISNUMBER(STDEV(BF8:BF18)),STDEV(BF8:BF18),"-")</f>
        <v>0</v>
      </c>
      <c r="BG21" s="774">
        <f>IF(ISNUMBER(STDEV(BG8:BG18)),STDEV(BG8:BG18),"-")</f>
        <v>0.13852775905709888</v>
      </c>
      <c r="BH21" s="775">
        <f>IF(ISNUMBER(STDEV(BH8:BH18)),STDEV(BH8:BH18),"-")</f>
        <v>2.4449763886064084</v>
      </c>
      <c r="BI21" s="248">
        <f>IF(ISNUMBER(STDEV(BI8:BI18)),STDEV(BI8:BI18),"-")</f>
        <v>8.6534617002690092E-2</v>
      </c>
      <c r="BJ21" s="229" t="str">
        <f>IF(ISNUMBER(BL21/BM21),BL21/BM21," - ")</f>
        <v xml:space="preserve"> - </v>
      </c>
      <c r="BK21" s="574"/>
      <c r="BL21" s="558">
        <f>IF(ISNUMBER(STDEV(BL8:BL18)),STDEV(BL8:BL18),"-")</f>
        <v>0.39585857128729057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4g8gWLZ3f4GYyC25tp5KxJfxDNhyZjAJ98Igl+ihk4ADNp3KhpHeZCPs41ujjX4AW46ZLw61ys80VlRQJRJlw==" saltValue="7G9rhytEXHVzjGFd6NGAB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LA RIOJA</v>
      </c>
    </row>
    <row r="2" spans="1:78" ht="16.5" customHeight="1">
      <c r="C2" s="527" t="str">
        <f>Criterios!A10 &amp;"  "&amp;Criterios!B10 &amp; "  " &amp; IF(NOT(ISBLANK(Criterios!A11)),Criterios!A11 &amp;"  "&amp;Criterios!B11,"")</f>
        <v>Provincias  LA RIOJA  Resumenes por Partidos Judiciales  LOGROÑO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4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921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1079</v>
      </c>
      <c r="AA9" s="331" t="str">
        <f>IF(ISNUMBER(IF(J_V="SI",Datos!L9,Datos!L9+Datos!AB9)-IF(Monitorios="SI",Datos!CD9,0)),
                          IF(J_V="SI",Datos!L9,Datos!L9+Datos!AB9)-IF(Monitorios="SI",Datos!CD9,0),
                          " - ")</f>
        <v xml:space="preserve"> - </v>
      </c>
      <c r="AB9" s="333"/>
      <c r="AC9" s="333"/>
      <c r="AD9" s="483"/>
      <c r="AE9" s="483">
        <f>IF(ISNUMBER(Datos!R9),Datos!R9," - ")</f>
        <v>9962</v>
      </c>
      <c r="AF9" s="228" t="str">
        <f>IF(ISNUMBER(Datos!BV9),Datos!BV9," - ")</f>
        <v xml:space="preserve"> - </v>
      </c>
      <c r="AG9" s="224" t="str">
        <f>IF(ISNUMBER(Datos!DV9),Datos!DV9," - ")</f>
        <v xml:space="preserve"> - </v>
      </c>
      <c r="AH9" s="297"/>
      <c r="AI9" s="226"/>
      <c r="AJ9" s="224">
        <f>IF(ISNUMBER(Datos!M9),Datos!M9," - ")</f>
        <v>586</v>
      </c>
      <c r="AK9" s="228">
        <f>IF(ISNUMBER(Datos!N9),Datos!N9," - ")</f>
        <v>804</v>
      </c>
      <c r="AL9" s="228" t="str">
        <f>IF(ISNUMBER(Datos!BW9),Datos!BW9," - ")</f>
        <v xml:space="preserve"> - </v>
      </c>
      <c r="AM9" s="227" t="str">
        <f>IF(ISNUMBER(Datos!BX9),Datos!BX9," - ")</f>
        <v xml:space="preserve"> - </v>
      </c>
      <c r="AN9" s="242"/>
      <c r="AO9" s="259">
        <f>IF(ISNUMBER(((NºAsuntos!I9/NºAsuntos!G9)*11)/factor_trimestre),((NºAsuntos!I9/NºAsuntos!G9)*11)/factor_trimestre," - ")</f>
        <v>4.5591098748261478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-1.5612648221343874E-2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145</v>
      </c>
      <c r="G10" s="224">
        <f>IF(ISNUMBER(Datos!I10),Datos!I10," - ")</f>
        <v>145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44</v>
      </c>
      <c r="Z10" s="618">
        <f>IF(ISNUMBER(Datos!Q10),Datos!Q10," - ")</f>
        <v>15</v>
      </c>
      <c r="AA10" s="331">
        <f>IF(ISNUMBER(Datos!L10),Datos!L10,"-")</f>
        <v>163</v>
      </c>
      <c r="AB10" s="333"/>
      <c r="AC10" s="333"/>
      <c r="AD10" s="483"/>
      <c r="AE10" s="483">
        <f>IF(ISNUMBER(Datos!R10),Datos!R10," - ")</f>
        <v>192</v>
      </c>
      <c r="AF10" s="228" t="str">
        <f>IF(ISNUMBER(Datos!BV10),Datos!BV10," - ")</f>
        <v xml:space="preserve"> - </v>
      </c>
      <c r="AG10" s="224" t="str">
        <f>IF(ISNUMBER(Datos!DV10),Datos!DV10," - ")</f>
        <v xml:space="preserve"> - </v>
      </c>
      <c r="AH10" s="297"/>
      <c r="AI10" s="226"/>
      <c r="AJ10" s="224">
        <f>IF(ISNUMBER(Datos!M10),Datos!M10," - ")</f>
        <v>17</v>
      </c>
      <c r="AK10" s="228">
        <f>IF(ISNUMBER(Datos!N10),Datos!N10," - ")</f>
        <v>32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11.113636363636363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5.235602094240838E-3</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34</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270</v>
      </c>
      <c r="AA11" s="331" t="str">
        <f>IF(ISNUMBER(IF(J_V="SI",Datos!L11,Datos!L11+Datos!AB11)-IF(Monitorios="SI",Datos!CD11,0)),
                          IF(J_V="SI",Datos!L11,Datos!L11+Datos!AB11)-IF(Monitorios="SI",Datos!CD11,0),
                          " - ")</f>
        <v xml:space="preserve"> - </v>
      </c>
      <c r="AB11" s="333"/>
      <c r="AC11" s="333"/>
      <c r="AD11" s="483"/>
      <c r="AE11" s="483">
        <f>IF(ISNUMBER(Datos!R11),Datos!R11," - ")</f>
        <v>278</v>
      </c>
      <c r="AF11" s="228" t="str">
        <f>IF(ISNUMBER(Datos!BV11),Datos!BV11," - ")</f>
        <v xml:space="preserve"> - </v>
      </c>
      <c r="AG11" s="224" t="str">
        <f>IF(ISNUMBER(Datos!DV11),Datos!DV11," - ")</f>
        <v xml:space="preserve"> - </v>
      </c>
      <c r="AH11" s="297"/>
      <c r="AI11" s="226"/>
      <c r="AJ11" s="224">
        <f>IF(ISNUMBER(Datos!M11),Datos!M11," - ")</f>
        <v>147</v>
      </c>
      <c r="AK11" s="228">
        <f>IF(ISNUMBER(Datos!N11),Datos!N11," - ")</f>
        <v>238</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5.4710327455919394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-0.45914396887159531</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0</v>
      </c>
      <c r="AA12" s="331" t="str">
        <f>IF(ISNUMBER(IF(J_V="SI",Datos!L12,Datos!L12+Datos!AB12)-IF(Monitorios="SI",Datos!CD12,0)),
                          IF(J_V="SI",Datos!L12,Datos!L12+Datos!AB12)-IF(Monitorios="SI",Datos!CD12,0),
                          " - ")</f>
        <v xml:space="preserve"> - </v>
      </c>
      <c r="AB12" s="333"/>
      <c r="AC12" s="333"/>
      <c r="AD12" s="483"/>
      <c r="AE12" s="483">
        <f>IF(ISNUMBER(Datos!R12),Datos!R12," - ")</f>
        <v>49</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8</v>
      </c>
      <c r="F13" s="897">
        <f>SUBTOTAL(9,F8:F12)</f>
        <v>145</v>
      </c>
      <c r="G13" s="897">
        <f>SUBTOTAL(9,G8:G12)</f>
        <v>145</v>
      </c>
      <c r="H13" s="907"/>
      <c r="I13" s="897">
        <f t="shared" ref="I13:N13" si="0">SUBTOTAL(9,I8:I12)</f>
        <v>0</v>
      </c>
      <c r="J13" s="866">
        <f t="shared" si="0"/>
        <v>0</v>
      </c>
      <c r="K13" s="907">
        <f t="shared" si="0"/>
        <v>0</v>
      </c>
      <c r="L13" s="907">
        <f t="shared" si="0"/>
        <v>0</v>
      </c>
      <c r="M13" s="907">
        <f t="shared" si="0"/>
        <v>0</v>
      </c>
      <c r="N13" s="907">
        <f t="shared" si="0"/>
        <v>971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44</v>
      </c>
      <c r="Z13" s="906">
        <f t="shared" si="2"/>
        <v>1364</v>
      </c>
      <c r="AA13" s="899">
        <f t="shared" si="2"/>
        <v>163</v>
      </c>
      <c r="AB13" s="899">
        <f t="shared" si="2"/>
        <v>0</v>
      </c>
      <c r="AC13" s="899">
        <f t="shared" si="2"/>
        <v>0</v>
      </c>
      <c r="AD13" s="899">
        <f t="shared" si="2"/>
        <v>0</v>
      </c>
      <c r="AE13" s="899">
        <f t="shared" si="2"/>
        <v>10481</v>
      </c>
      <c r="AF13" s="907">
        <f t="shared" si="2"/>
        <v>0</v>
      </c>
      <c r="AG13" s="907">
        <f t="shared" si="2"/>
        <v>0</v>
      </c>
      <c r="AH13" s="907">
        <f t="shared" si="2"/>
        <v>0</v>
      </c>
      <c r="AI13" s="907">
        <f t="shared" si="2"/>
        <v>0</v>
      </c>
      <c r="AJ13" s="907">
        <f t="shared" si="2"/>
        <v>750</v>
      </c>
      <c r="AK13" s="907">
        <f t="shared" si="2"/>
        <v>1074</v>
      </c>
      <c r="AL13" s="907">
        <f t="shared" si="2"/>
        <v>0</v>
      </c>
      <c r="AM13" s="907">
        <f t="shared" si="2"/>
        <v>0</v>
      </c>
      <c r="AN13" s="907">
        <f t="shared" si="2"/>
        <v>0</v>
      </c>
      <c r="AO13" s="903">
        <f>IF(ISNUMBER(((NºAsuntos!I13/NºAsuntos!G13)*11)/factor_trimestre),((NºAsuntos!I13/NºAsuntos!G13)*11)/factor_trimestre," - ")</f>
        <v>4.809468822170901</v>
      </c>
      <c r="AP13" s="909" t="str">
        <f>IF(ISNUMBER(Datos!CI13/Datos!CJ13),Datos!CI13/Datos!CJ13," - ")</f>
        <v xml:space="preserve"> - </v>
      </c>
      <c r="AQ13" s="927">
        <f t="shared" ref="AQ13:AV13" si="3">SUBTOTAL(9,AQ9:AQ12)</f>
        <v>0</v>
      </c>
      <c r="AR13" s="927">
        <f t="shared" si="3"/>
        <v>-0.46952101499869836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2655</v>
      </c>
      <c r="G15" s="224">
        <f>IF(ISNUMBER(IF(D_I="SI",Datos!I15,Datos!I15+Datos!AC15)),IF(D_I="SI",Datos!I15,Datos!I15+Datos!AC15)," - ")</f>
        <v>2655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102</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1985</v>
      </c>
      <c r="Z15" s="618">
        <f>IF(ISNUMBER(Datos!Q15),Datos!Q15," - ")</f>
        <v>122</v>
      </c>
      <c r="AA15" s="331">
        <f>IF(ISNUMBER(IF(D_I="SI",Datos!L15,Datos!L15+Datos!AF15)),IF(D_I="SI",Datos!L15,Datos!L15+Datos!AF15)," - ")</f>
        <v>2741</v>
      </c>
      <c r="AB15" s="333"/>
      <c r="AC15" s="333"/>
      <c r="AD15" s="483"/>
      <c r="AE15" s="483">
        <f>IF(ISNUMBER(Datos!R15),Datos!R15," - ")</f>
        <v>333</v>
      </c>
      <c r="AF15" s="228" t="str">
        <f>IF(ISNUMBER(Datos!BV15),Datos!BV15," - ")</f>
        <v xml:space="preserve"> - </v>
      </c>
      <c r="AG15" s="224"/>
      <c r="AH15" s="297"/>
      <c r="AI15" s="226"/>
      <c r="AJ15" s="224">
        <f>IF(ISNUMBER(Datos!M15),Datos!M15," - ")</f>
        <v>354</v>
      </c>
      <c r="AK15" s="228">
        <f>IF(ISNUMBER(Datos!N15),Datos!N15," - ")</f>
        <v>1055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4.1425692695214105</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475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307</v>
      </c>
      <c r="Z17" s="618">
        <f>IF(ISNUMBER(Datos!Q17),Datos!Q17," - ")</f>
        <v>11</v>
      </c>
      <c r="AA17" s="331">
        <f>IF(ISNUMBER(Datos!L17),Datos!L17,"-")</f>
        <v>516</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51</v>
      </c>
      <c r="AK17" s="228">
        <f>IF(ISNUMBER(Datos!N17),Datos!N17," - ")</f>
        <v>125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5.0423452768729646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2655</v>
      </c>
      <c r="G18" s="897">
        <f>SUBTOTAL(9,G15:G17)</f>
        <v>3130</v>
      </c>
      <c r="H18" s="931">
        <f>SUBTOTAL(9,H15:H17)</f>
        <v>0</v>
      </c>
      <c r="I18" s="910">
        <f>SUBTOTAL(9,I15:I17)</f>
        <v>0</v>
      </c>
      <c r="J18" s="866">
        <f>SUBTOTAL(9,J14:J17)</f>
        <v>0</v>
      </c>
      <c r="K18" s="931">
        <f t="shared" ref="K18:S18" si="4">SUBTOTAL(9,K15:K17)</f>
        <v>0</v>
      </c>
      <c r="L18" s="931">
        <f t="shared" si="4"/>
        <v>0</v>
      </c>
      <c r="M18" s="931">
        <f t="shared" si="4"/>
        <v>0</v>
      </c>
      <c r="N18" s="931">
        <f t="shared" si="4"/>
        <v>109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2292</v>
      </c>
      <c r="Z18" s="931">
        <f t="shared" si="5"/>
        <v>133</v>
      </c>
      <c r="AA18" s="931">
        <f t="shared" si="5"/>
        <v>3257</v>
      </c>
      <c r="AB18" s="931">
        <f t="shared" si="5"/>
        <v>0</v>
      </c>
      <c r="AC18" s="931">
        <f t="shared" si="5"/>
        <v>0</v>
      </c>
      <c r="AD18" s="931">
        <f t="shared" si="5"/>
        <v>0</v>
      </c>
      <c r="AE18" s="931">
        <f t="shared" si="5"/>
        <v>340</v>
      </c>
      <c r="AF18" s="931">
        <f t="shared" si="5"/>
        <v>0</v>
      </c>
      <c r="AG18" s="931">
        <f t="shared" si="5"/>
        <v>0</v>
      </c>
      <c r="AH18" s="931">
        <f t="shared" si="5"/>
        <v>0</v>
      </c>
      <c r="AI18" s="931">
        <f t="shared" si="5"/>
        <v>0</v>
      </c>
      <c r="AJ18" s="931">
        <f t="shared" si="5"/>
        <v>405</v>
      </c>
      <c r="AK18" s="931">
        <f t="shared" si="5"/>
        <v>1180</v>
      </c>
      <c r="AL18" s="931">
        <f t="shared" si="5"/>
        <v>0</v>
      </c>
      <c r="AM18" s="931">
        <f t="shared" si="5"/>
        <v>0</v>
      </c>
      <c r="AN18" s="931">
        <f t="shared" si="5"/>
        <v>0</v>
      </c>
      <c r="AO18" s="933">
        <f>IF(ISNUMBER(((NºAsuntos!I18/NºAsuntos!G18)*11)/factor_trimestre),((NºAsuntos!I18/NºAsuntos!G18)*11)/factor_trimestre," - ")</f>
        <v>4.2630890052356021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2800</v>
      </c>
      <c r="G19" s="819">
        <f t="shared" si="7"/>
        <v>3275</v>
      </c>
      <c r="H19" s="820">
        <f t="shared" si="7"/>
        <v>0</v>
      </c>
      <c r="I19" s="819">
        <f t="shared" si="7"/>
        <v>0</v>
      </c>
      <c r="J19" s="821">
        <f t="shared" si="7"/>
        <v>0</v>
      </c>
      <c r="K19" s="819">
        <f t="shared" si="7"/>
        <v>0</v>
      </c>
      <c r="L19" s="822">
        <f t="shared" si="7"/>
        <v>0</v>
      </c>
      <c r="M19" s="819">
        <f t="shared" si="7"/>
        <v>0</v>
      </c>
      <c r="N19" s="820">
        <f t="shared" si="7"/>
        <v>1080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2336</v>
      </c>
      <c r="Z19" s="826">
        <f t="shared" si="8"/>
        <v>1497</v>
      </c>
      <c r="AA19" s="827">
        <f t="shared" si="8"/>
        <v>3420</v>
      </c>
      <c r="AB19" s="827">
        <f t="shared" si="8"/>
        <v>0</v>
      </c>
      <c r="AC19" s="827">
        <f t="shared" si="8"/>
        <v>0</v>
      </c>
      <c r="AD19" s="828">
        <f t="shared" si="8"/>
        <v>0</v>
      </c>
      <c r="AE19" s="828">
        <f t="shared" si="8"/>
        <v>10821</v>
      </c>
      <c r="AF19" s="829">
        <f t="shared" si="8"/>
        <v>0</v>
      </c>
      <c r="AG19" s="830">
        <f t="shared" si="8"/>
        <v>0</v>
      </c>
      <c r="AH19" s="831">
        <f t="shared" si="8"/>
        <v>0</v>
      </c>
      <c r="AI19" s="829">
        <f t="shared" si="8"/>
        <v>0</v>
      </c>
      <c r="AJ19" s="819">
        <f t="shared" si="8"/>
        <v>1155</v>
      </c>
      <c r="AK19" s="819">
        <f t="shared" si="8"/>
        <v>2254</v>
      </c>
      <c r="AL19" s="819">
        <f t="shared" si="8"/>
        <v>0</v>
      </c>
      <c r="AM19" s="832">
        <f t="shared" si="8"/>
        <v>0</v>
      </c>
      <c r="AN19" s="822">
        <f>IF(ISNUMBER(Datos!K19/Datos!J19),Datos!K19/Datos!J19," - ")</f>
        <v>1.0192052980132451</v>
      </c>
      <c r="AO19" s="822">
        <f>IF(ISNUMBER(FIND("06",Criterios!A8,1)),(IF(ISNUMBER(((Datos!R19/Datos!Q19)*11)/factor_trimestre),((Datos!R19/Datos!Q19)*11)/factor_trimestre," - ")),(IF(ISNUMBER(((Datos!L19/Datos!K19)*11)/factor_trimestre),((Datos!L19/Datos!K19)*11)/factor_trimestre," - ")))</f>
        <v>4.7173489278752436</v>
      </c>
      <c r="AP19" s="833" t="str">
        <f>IF(ISNUMBER(Datos!CI19/Datos!CJ19),Datos!CI19/Datos!CJ19," - ")</f>
        <v xml:space="preserve"> - </v>
      </c>
      <c r="AQ19" s="833">
        <f>IF(OR(ISNUMBER(FIND("01",Criterios!A8,1)),ISNUMBER(FIND("02",Criterios!A8,1)),ISNUMBER(FIND("03",Criterios!A8,1)),ISNUMBER(FIND("04",Criterios!A8,1))),(J19-Y19+K19)/(F19-K19),(I19-Y19+K19)/(F19-K19))</f>
        <v>-0.8342857142857143</v>
      </c>
      <c r="AR19" s="833">
        <f>IF(ISNUMBER((Datos!P19-Datos!Q19+O19)/(Datos!R19-Datos!P19+Datos!Q19-O19)),(Datos!P19-Datos!Q19+O19)/(Datos!R19-Datos!P19+Datos!Q19-O19)," - ")</f>
        <v>-3.7106246663107315E-2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1310</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1449.1491756659607</v>
      </c>
      <c r="G21" s="551">
        <f>IF(ISNUMBER(STDEV(G8:G18)),STDEV(G8:G18),"-")</f>
        <v>1460.5735174923582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280.99911031887626</v>
      </c>
      <c r="AK21" s="251"/>
      <c r="AL21" s="251">
        <f>IF(ISNUMBER(STDEV(AL8:AL18)),STDEV(AL8:AL18),"-")</f>
        <v>0</v>
      </c>
      <c r="AM21" s="253">
        <f>IF(ISNUMBER(STDEV(AM8:AM18)),STDEV(AM8:AM18),"-")</f>
        <v>0</v>
      </c>
      <c r="AN21" s="538">
        <f>IF(ISNUMBER(STDEV(AN8:AN18)),STDEV(AN8:AN18),"-")</f>
        <v>0</v>
      </c>
      <c r="AO21" s="539">
        <f>IF(ISNUMBER(STDEV(AO8:AO18)),STDEV(AO8:AO18),"-")</f>
        <v>2.4610918449488151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yZqWn8hNXjtOHxHVqYO24gVc4wrJezMb2/caN0q3oQJABIfQ590uAySSG3WFitAlCUukFz2F/lsN+U9Netr/yw==" saltValue="lRvC+h/w7lhP864rVYdI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5QpXJ25VWHfqPSplmkIrLBXI1w48YCsXUmfbivMYU7tnVITHvYuHSfjssK0eY50P1Ji8p6A96KQ6G8uZDBdDUQ==" saltValue="h1WP88eCE0iM4LnJSzXu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LA RIOJA</v>
      </c>
    </row>
    <row r="4" spans="1:156" ht="13.5" thickBot="1">
      <c r="A4" t="str">
        <f>Criterios!A10</f>
        <v>Provincias</v>
      </c>
      <c r="B4" t="str">
        <f>Criterios!B10</f>
        <v>LA RIOJA</v>
      </c>
      <c r="CE4" s="1393" t="s">
        <v>269</v>
      </c>
      <c r="CF4" s="1394"/>
      <c r="CG4" s="1394"/>
      <c r="CH4" s="1395"/>
    </row>
    <row r="5" spans="1:156" ht="12.75" customHeight="1" thickBot="1">
      <c r="A5" s="1426" t="str">
        <f>"Año:  " &amp;Criterios!B5 &amp; "                  Trimestre   " &amp;Criterios!D5 &amp; " al " &amp;Criterios!D6</f>
        <v>Año:  2025                  Trimestre   4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inRa6rH+D+qs6QoL3pMhNyyXSMbAK0nkdVSKUNSlmxyQ7UWjI6YvyLlWrCwEGqh+DWaW+iNKHATuphRaPrXtw==" saltValue="Tak3uDRQsnU3IWXQJQyS8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LA RIOJA</v>
      </c>
    </row>
    <row r="2" spans="1:78" ht="16.5" customHeight="1">
      <c r="C2" s="487" t="str">
        <f>Criterios!A10 &amp;"  "&amp;Criterios!B10 &amp; "  " &amp; IF(NOT(ISBLANK(Criterios!A11)),Criterios!A11 &amp;"  "&amp;Criterios!B11,"")</f>
        <v>Provincias  LA RIOJA  Resumenes por Partidos Judiciales  LOGROÑO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4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0.28868360277136257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0.20413013313699407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Kel3dtsx1D1nknb9zsk5RxCILlCC2+Do/sVxuyTLbSdYi8TE0FXC4h38BIPOCH37kcui68Db/Q+j8QHtP/tmxQ==" saltValue="LA7lEdiaPQCnAHWWl1Fg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POr/u6MtVIk+Pvce7DJWW/GSqng2rrgwJyNZbmEZ/dD7v/Tcjp/+/frH4lF0kjTdXmEYn3Tpqpk62PFmxpCW5g==" saltValue="9vqdJnI5HNJ598EO9dyq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LA RIOJA</v>
      </c>
      <c r="C2" s="374"/>
      <c r="D2" s="374"/>
      <c r="E2" s="374"/>
      <c r="F2" s="374"/>
    </row>
    <row r="3" spans="1:69" ht="19.5">
      <c r="A3" s="389" t="s">
        <v>115</v>
      </c>
      <c r="B3" s="390" t="str">
        <f>Criterios!A10 &amp;"  "&amp;Criterios!B10</f>
        <v>Provincias  LA RIOJA</v>
      </c>
      <c r="D3" s="374"/>
      <c r="E3" s="374"/>
      <c r="F3" s="374"/>
      <c r="BQ3" s="470"/>
    </row>
    <row r="4" spans="1:69" ht="13.5" thickBot="1">
      <c r="A4" s="374"/>
      <c r="B4" s="390" t="str">
        <f>Criterios!A11 &amp;"  "&amp;Criterios!B11</f>
        <v>Resumenes por Partidos Judiciales  LOGROÑO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3482</v>
      </c>
      <c r="D9" s="403">
        <f>IF(ISNUMBER(C9/Datos!BH9),C9/Datos!BH9," - ")</f>
        <v>580.33333333333337</v>
      </c>
      <c r="E9" s="402">
        <f>IF(ISNUMBER(IF(J_V="SI",Datos!J9,Datos!J9+Datos!Z9)),IF(J_V="SI",Datos!J9,Datos!J9+Datos!Z9)," - ")</f>
        <v>1953</v>
      </c>
      <c r="F9" s="403">
        <f>IF(ISNUMBER(E9/B9),E9/B9," - ")</f>
        <v>325.5</v>
      </c>
      <c r="G9" s="402">
        <f>IF(ISNUMBER(IF(J_V="SI",Datos!K9,Datos!K9+Datos!AA9)),IF(J_V="SI",Datos!K9,Datos!K9+Datos!AA9)," - ")</f>
        <v>2157</v>
      </c>
      <c r="H9" s="403">
        <f>IF(ISNUMBER(G9/B9),G9/B9," - ")</f>
        <v>359.5</v>
      </c>
      <c r="I9" s="402">
        <f>IF(ISNUMBER(IF(J_V="SI",Datos!L9,Datos!L9+Datos!AB9)),IF(J_V="SI",Datos!L9,Datos!L9+Datos!AB9)," - ")</f>
        <v>3278</v>
      </c>
      <c r="J9" s="403">
        <f>IF(ISNUMBER(I9/B9),I9/B9," - ")</f>
        <v>546.33333333333337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145</v>
      </c>
      <c r="D10" s="403">
        <f>IF(ISNUMBER(C10/Datos!BH10),C10/Datos!BH10," - ")</f>
        <v>145</v>
      </c>
      <c r="E10" s="402">
        <f>IF(ISNUMBER(Datos!J10),Datos!J10," - ")</f>
        <v>62</v>
      </c>
      <c r="F10" s="403">
        <f>IF(ISNUMBER(E10/B10),E10/B10," - ")</f>
        <v>62</v>
      </c>
      <c r="G10" s="402">
        <f>IF(ISNUMBER(Datos!K10),Datos!K10," - ")</f>
        <v>44</v>
      </c>
      <c r="H10" s="403">
        <f>IF(ISNUMBER(G10/B10),G10/B10," - ")</f>
        <v>44</v>
      </c>
      <c r="I10" s="402">
        <f>IF(ISNUMBER(Datos!L10),Datos!L10," - ")</f>
        <v>163</v>
      </c>
      <c r="J10" s="403">
        <f>IF(ISNUMBER(I10/B10),I10/B10," - ")</f>
        <v>163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737</v>
      </c>
      <c r="D11" s="403">
        <f>IF(ISNUMBER(C11/Datos!BH11),C11/Datos!BH11," - ")</f>
        <v>737</v>
      </c>
      <c r="E11" s="402">
        <f>IF(ISNUMBER(IF(J_V="SI",Datos!J11,Datos!J11+Datos!Z11)),IF(J_V="SI",Datos!J11,Datos!J11+Datos!Z11)," - ")</f>
        <v>384</v>
      </c>
      <c r="F11" s="403">
        <f>IF(ISNUMBER(E11/B11),E11/B11," - ")</f>
        <v>384</v>
      </c>
      <c r="G11" s="402">
        <f>IF(ISNUMBER(IF(J_V="SI",Datos!K11,Datos!K11+Datos!AA11)),IF(J_V="SI",Datos!K11,Datos!K11+Datos!AA11)," - ")</f>
        <v>397</v>
      </c>
      <c r="H11" s="403">
        <f>IF(ISNUMBER(G11/B11),G11/B11," - ")</f>
        <v>397</v>
      </c>
      <c r="I11" s="402">
        <f>IF(ISNUMBER(IF(J_V="SI",Datos!L11,Datos!L11+Datos!AB11)),IF(J_V="SI",Datos!L11,Datos!L11+Datos!AB11)," - ")</f>
        <v>724</v>
      </c>
      <c r="J11" s="403">
        <f>IF(ISNUMBER(I11/B11),I11/B11," - ")</f>
        <v>724</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0</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4365</v>
      </c>
      <c r="D13" s="849" t="str">
        <f>IF(ISNUMBER(C13/Datos!BI13),C13/Datos!BI13," - ")</f>
        <v xml:space="preserve"> - </v>
      </c>
      <c r="E13" s="848">
        <f>SUBTOTAL(9,E8:E12)</f>
        <v>2399</v>
      </c>
      <c r="F13" s="849">
        <f>IF(ISNUMBER(E13/B13),E13/B13," - ")</f>
        <v>299.875</v>
      </c>
      <c r="G13" s="848">
        <f>SUBTOTAL(9,G8:G12)</f>
        <v>2598</v>
      </c>
      <c r="H13" s="849">
        <f>IF(ISNUMBER(G13/B13),G13/B13," - ")</f>
        <v>324.75</v>
      </c>
      <c r="I13" s="848">
        <f>SUBTOTAL(9,I8:I12)</f>
        <v>4165</v>
      </c>
      <c r="J13" s="849">
        <f>IF(ISNUMBER(I13/B13),I13/B13," - ")</f>
        <v>520.625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2655</v>
      </c>
      <c r="D15" s="403">
        <f>IF(ISNUMBER(C15/Datos!BH15),C15/Datos!BH15," - ")</f>
        <v>885</v>
      </c>
      <c r="E15" s="402">
        <f>IF(ISNUMBER(IF(D_I="SI",Datos!J15,Datos!J15+Datos!AD15)),IF(D_I="SI",Datos!J15,Datos!J15+Datos!AD15)," - ")</f>
        <v>2071</v>
      </c>
      <c r="F15" s="403">
        <f>IF(ISNUMBER(E15/B15),E15/B15," - ")</f>
        <v>690.33333333333337</v>
      </c>
      <c r="G15" s="402">
        <f>IF(ISNUMBER(IF(D_I="SI",Datos!K15,Datos!K15+Datos!AE15)),IF(D_I="SI",Datos!K15,Datos!K15+Datos!AE15)," - ")</f>
        <v>1985</v>
      </c>
      <c r="H15" s="403">
        <f>IF(ISNUMBER(G15/B15),G15/B15," - ")</f>
        <v>661.66666666666663</v>
      </c>
      <c r="I15" s="402">
        <f>IF(ISNUMBER(IF(D_I="SI",Datos!L15,Datos!L15+Datos!AF15)),IF(D_I="SI",Datos!L15,Datos!L15+Datos!AF15)," - ")</f>
        <v>2741</v>
      </c>
      <c r="J15" s="403">
        <f>IF(ISNUMBER(I15/B15),I15/B15," - ")</f>
        <v>913.66666666666663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475</v>
      </c>
      <c r="D17" s="403">
        <f>IF(ISNUMBER(C17/Datos!BH17),C17/Datos!BH17," - ")</f>
        <v>475</v>
      </c>
      <c r="E17" s="402">
        <f>IF(ISNUMBER(IF(D_I="SI",Datos!J17,Datos!J17+Datos!AD17)),IF(D_I="SI",Datos!J17,Datos!J17+Datos!AD17)," - ")</f>
        <v>348</v>
      </c>
      <c r="F17" s="403">
        <f>IF(ISNUMBER(E17/B17),E17/B17," - ")</f>
        <v>348</v>
      </c>
      <c r="G17" s="402">
        <f>IF(ISNUMBER(IF(D_I="SI",Datos!K17,Datos!K17+Datos!AE17)),IF(D_I="SI",Datos!K17,Datos!K17+Datos!AE17)," - ")</f>
        <v>307</v>
      </c>
      <c r="H17" s="403">
        <f>IF(ISNUMBER(G17/B17),G17/B17," - ")</f>
        <v>307</v>
      </c>
      <c r="I17" s="402">
        <f>IF(ISNUMBER(IF(D_I="SI",Datos!L17,Datos!L17+Datos!AF17)),IF(D_I="SI",Datos!L17,Datos!L17+Datos!AF17)," - ")</f>
        <v>516</v>
      </c>
      <c r="J17" s="403">
        <f>IF(ISNUMBER(I17/B17),I17/B17," - ")</f>
        <v>516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3130</v>
      </c>
      <c r="D18" s="849" t="str">
        <f>IF(ISNUMBER(C18/Datos!BI18),C18/Datos!BI18," - ")</f>
        <v xml:space="preserve"> - </v>
      </c>
      <c r="E18" s="848">
        <f>SUBTOTAL(9,E14:E17)</f>
        <v>2419</v>
      </c>
      <c r="F18" s="849">
        <f>IF(ISNUMBER(E18/B18),E18/B18," - ")</f>
        <v>604.75</v>
      </c>
      <c r="G18" s="848">
        <f>SUBTOTAL(9,G14:G17)</f>
        <v>2292</v>
      </c>
      <c r="H18" s="849">
        <f>IF(ISNUMBER(G18/B18),G18/B18," - ")</f>
        <v>573</v>
      </c>
      <c r="I18" s="848">
        <f>SUBTOTAL(9,I14:I17)</f>
        <v>3257</v>
      </c>
      <c r="J18" s="849">
        <f>IF(ISNUMBER(I18/B18),I18/B18," - ")</f>
        <v>814.25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7495</v>
      </c>
      <c r="D19" s="794" t="str">
        <f>IF(ISNUMBER(C19/Datos!BI19),C19/Datos!BI19," - ")</f>
        <v xml:space="preserve"> - </v>
      </c>
      <c r="E19" s="793">
        <f>SUBTOTAL(9,E9:E18)</f>
        <v>4818</v>
      </c>
      <c r="F19" s="794">
        <f>IF(ISNUMBER(E19/B19),E19/B19," - ")</f>
        <v>438</v>
      </c>
      <c r="G19" s="793">
        <f>SUBTOTAL(9,G9:G18)</f>
        <v>4890</v>
      </c>
      <c r="H19" s="794">
        <f>IF(ISNUMBER(G19/B19),G19/B19," - ")</f>
        <v>444.54545454545456</v>
      </c>
      <c r="I19" s="793">
        <f>SUBTOTAL(9,I9:I18)</f>
        <v>7422</v>
      </c>
      <c r="J19" s="794">
        <f>IF(ISNUMBER(I19/B19),I19/B19," - ")</f>
        <v>674.72727272727275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1Pc1Vj8/AEtC245jDHkwvH+MUriaBEr05L4U0dSWZMbZujU6IDn+MIA7t2/oo2cJ4RrfRvxOMdlv/Od/Su+qIw==" saltValue="Lap1k1tA5ujgRYfyqV+8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LA RIOJA</v>
      </c>
      <c r="W1"/>
      <c r="X1"/>
    </row>
    <row r="2" spans="1:78" ht="16.5" customHeight="1">
      <c r="C2" s="487" t="str">
        <f>Criterios!A10 &amp;"  "&amp;Criterios!B10 &amp; "  " &amp; IF(NOT(ISBLANK(Criterios!A11)),Criterios!A11 &amp;"  "&amp;Criterios!B11,"")</f>
        <v>Provincias  LA RIOJA  Resumenes por Partidos Judiciales  LOGROÑO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4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145</v>
      </c>
      <c r="G10" s="683">
        <f>IF(ISNUMBER(Datos!I10),Datos!I10," - ")</f>
        <v>145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44</v>
      </c>
      <c r="AC10" s="682" t="str">
        <f>IF(ISNUMBER(IF(D_I="SI",DatosP!K17,DatosP!K17+DatosP!AE17)),IF(D_I="SI",DatosP!K17,DatosP!K17+DatosP!AE17)," - ")</f>
        <v xml:space="preserve"> - </v>
      </c>
      <c r="AD10" s="684"/>
      <c r="AE10" s="684"/>
      <c r="AF10" s="687">
        <f>IF(ISNUMBER(Datos!L10),Datos!L10,"-")</f>
        <v>163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17</v>
      </c>
      <c r="AM10" s="689">
        <f>IF(ISNUMBER(Datos!N10+DatosP!N17),Datos!N10+DatosP!N17," - ")</f>
        <v>32</v>
      </c>
      <c r="AN10" s="689">
        <f>IF(ISNUMBER(Datos!BW10+DatosP!BW17),Datos!BW10+DatosP!BW17," - ")</f>
        <v>0</v>
      </c>
      <c r="AO10" s="690">
        <f>IF(ISNUMBER(Datos!BX10+DatosP!BX17),Datos!BX10+DatosP!BX17," - ")</f>
        <v>0</v>
      </c>
      <c r="AP10" s="692">
        <f>IF(ISNUMBER(((Datos!L10/Datos!K10)*11)/factor_trimestre),((Datos!L10/Datos!K10)*11)/factor_trimestre," - ")</f>
        <v>11.113636363636363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145</v>
      </c>
      <c r="G13" s="937">
        <f t="shared" si="0"/>
        <v>145</v>
      </c>
      <c r="H13" s="937">
        <f t="shared" si="0"/>
        <v>0</v>
      </c>
      <c r="I13" s="939">
        <f t="shared" si="0"/>
        <v>0</v>
      </c>
      <c r="J13" s="938">
        <f t="shared" si="0"/>
        <v>0</v>
      </c>
      <c r="K13" s="938">
        <f t="shared" si="0"/>
        <v>0</v>
      </c>
      <c r="L13" s="940">
        <f t="shared" si="0"/>
        <v>0</v>
      </c>
      <c r="M13" s="940">
        <f t="shared" si="0"/>
        <v>0</v>
      </c>
      <c r="N13" s="938">
        <f t="shared" si="0"/>
        <v>16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44</v>
      </c>
      <c r="AC13" s="938">
        <f t="shared" si="1"/>
        <v>0</v>
      </c>
      <c r="AD13" s="938">
        <f t="shared" si="1"/>
        <v>0</v>
      </c>
      <c r="AE13" s="938">
        <f t="shared" si="1"/>
        <v>0</v>
      </c>
      <c r="AF13" s="938">
        <f t="shared" si="1"/>
        <v>163</v>
      </c>
      <c r="AG13" s="938">
        <f t="shared" si="1"/>
        <v>0</v>
      </c>
      <c r="AH13" s="938">
        <f t="shared" si="1"/>
        <v>49</v>
      </c>
      <c r="AI13" s="938">
        <f t="shared" si="1"/>
        <v>0</v>
      </c>
      <c r="AJ13" s="938">
        <f t="shared" si="1"/>
        <v>0</v>
      </c>
      <c r="AK13" s="938">
        <f t="shared" si="1"/>
        <v>0</v>
      </c>
      <c r="AL13" s="938">
        <f t="shared" si="1"/>
        <v>17</v>
      </c>
      <c r="AM13" s="938">
        <f t="shared" si="1"/>
        <v>32</v>
      </c>
      <c r="AN13" s="938">
        <f t="shared" si="1"/>
        <v>0</v>
      </c>
      <c r="AO13" s="938">
        <f t="shared" si="1"/>
        <v>0</v>
      </c>
      <c r="AP13" s="943">
        <f>IF(ISNUMBER(((Datos!L13/Datos!K13)*11)/factor_trimestre),((Datos!L13/Datos!K13)*11)/factor_trimestre," - ")</f>
        <v>5.1651612903225805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-0.30344827586206896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4.2630890052356021</v>
      </c>
      <c r="AQ18" s="943">
        <f>IF(ISNUMBER(((Datos!M18/Datos!L18)*11)/factor_trimestre),((Datos!M18/Datos!L18)*11)/factor_trimestre," - ")</f>
        <v>0.37304267731040835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-6.5934065934065936E-2</v>
      </c>
      <c r="AW18" s="945">
        <f>IF(ISNUMBER((Datos!Q18-Datos!R18)/(Datos!S18-Datos!Q18+Datos!R18)),(Datos!Q18-Datos!R18)/(Datos!S18-Datos!Q18+Datos!R18)," - ")</f>
        <v>-5.7918298824846108E-2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145</v>
      </c>
      <c r="G19" s="950">
        <f t="shared" si="4"/>
        <v>145</v>
      </c>
      <c r="H19" s="950">
        <f t="shared" si="4"/>
        <v>0</v>
      </c>
      <c r="I19" s="951">
        <f t="shared" si="4"/>
        <v>0</v>
      </c>
      <c r="J19" s="952">
        <f t="shared" si="4"/>
        <v>0</v>
      </c>
      <c r="K19" s="952">
        <f t="shared" si="4"/>
        <v>0</v>
      </c>
      <c r="L19" s="952">
        <f t="shared" si="4"/>
        <v>0</v>
      </c>
      <c r="M19" s="952">
        <f t="shared" si="4"/>
        <v>0</v>
      </c>
      <c r="N19" s="951">
        <f t="shared" si="4"/>
        <v>16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44</v>
      </c>
      <c r="AC19" s="956">
        <f t="shared" si="5"/>
        <v>0</v>
      </c>
      <c r="AD19" s="956">
        <f t="shared" si="5"/>
        <v>0</v>
      </c>
      <c r="AE19" s="956">
        <f t="shared" si="5"/>
        <v>0</v>
      </c>
      <c r="AF19" s="957">
        <f t="shared" si="5"/>
        <v>163</v>
      </c>
      <c r="AG19" s="957">
        <f t="shared" si="5"/>
        <v>0</v>
      </c>
      <c r="AH19" s="957">
        <f t="shared" si="5"/>
        <v>49</v>
      </c>
      <c r="AI19" s="957">
        <f t="shared" si="5"/>
        <v>0</v>
      </c>
      <c r="AJ19" s="958">
        <f t="shared" si="5"/>
        <v>0</v>
      </c>
      <c r="AK19" s="958">
        <f t="shared" si="5"/>
        <v>0</v>
      </c>
      <c r="AL19" s="950">
        <f t="shared" si="5"/>
        <v>17</v>
      </c>
      <c r="AM19" s="950">
        <f t="shared" si="5"/>
        <v>32</v>
      </c>
      <c r="AN19" s="950">
        <f t="shared" si="5"/>
        <v>0</v>
      </c>
      <c r="AO19" s="950">
        <f t="shared" si="5"/>
        <v>0</v>
      </c>
      <c r="AP19" s="950">
        <f>IF(ISNUMBER(((Datos!L19/Datos!K19)*11)/factor_trimestre),((Datos!L19/Datos!K19)*11)/factor_trimestre," - ")</f>
        <v>4.7173489278752436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-0.30344827586206896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-3.7106246663107315E-2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96.666666666666671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3.4448028487370168</v>
      </c>
      <c r="F21" s="735">
        <f>IF(ISNUMBER(STDEV(F8:F18)),STDEV(F8:F18),"-")</f>
        <v>83.715789032495735</v>
      </c>
      <c r="G21" s="736">
        <f>IF(ISNUMBER(STDEV(G8:G18)),STDEV(G8:G18),"-")</f>
        <v>83.715789032495735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25.40341184434353</v>
      </c>
      <c r="AC21" s="737">
        <f>IF(ISNUMBER(STDEV(AC8:AC18)),STDEV(AC8:AC18),"-")</f>
        <v>0</v>
      </c>
      <c r="AD21" s="740"/>
      <c r="AE21" s="740"/>
      <c r="AF21" s="740"/>
      <c r="AG21" s="740"/>
      <c r="AH21" s="740"/>
      <c r="AI21" s="740"/>
      <c r="AJ21" s="741">
        <f>IF(ISNUMBER(STDEV(AJ8:AJ18)),STDEV(AJ8:AJ18),"-")</f>
        <v>0</v>
      </c>
      <c r="AK21" s="743"/>
      <c r="AL21" s="735">
        <f>IF(ISNUMBER(STDEV(AL8:AL18)),STDEV(AL8:AL18),"-")</f>
        <v>9.8149545762236379</v>
      </c>
      <c r="AM21" s="735"/>
      <c r="AN21" s="735">
        <f>IF(ISNUMBER(STDEV(AN8:AN18)),STDEV(AN8:AN18),"-")</f>
        <v>0</v>
      </c>
      <c r="AO21" s="741">
        <f>IF(ISNUMBER(STDEV(AO8:AO18)),STDEV(AO8:AO18),"-")</f>
        <v>0</v>
      </c>
      <c r="AP21" s="778">
        <f>IF(ISNUMBER(STDEV(AP8:AP18)),STDEV(AP8:AP18),"-")</f>
        <v>3.7221877351688626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Qx7FTkS6liJs8yK7yFbVuqz0/oqaU31jIaU4x4WFwlCBZQY7HBf9ZCUK/RjrTmfEfAv16JO7euI/gPSspFSSlg==" saltValue="LmcKZuTiVN9bhi73gtS/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LA RIOJA</v>
      </c>
      <c r="C2" s="374"/>
      <c r="E2" s="374"/>
      <c r="F2" s="374"/>
      <c r="G2" s="374"/>
      <c r="H2" s="374"/>
    </row>
    <row r="3" spans="1:15" ht="39">
      <c r="A3" s="414" t="s">
        <v>214</v>
      </c>
      <c r="B3" s="390" t="str">
        <f>Criterios!A10 &amp;"  "&amp;Criterios!B10</f>
        <v>Provincias  LA RIOJA</v>
      </c>
      <c r="C3" s="414"/>
      <c r="F3" s="374"/>
      <c r="G3" s="374"/>
      <c r="H3" s="374"/>
    </row>
    <row r="4" spans="1:15" ht="13.5" thickBot="1">
      <c r="A4" s="374"/>
      <c r="B4" s="390" t="str">
        <f>Criterios!A11 &amp;"  "&amp;Criterios!B11</f>
        <v>Resumenes por Partidos Judiciales  LOGROÑO</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w85yrrtWl5WQv2nWyt2JGaoQp2RZWvIIihpN++Y9jnaT3Nh8YOylJcN+Yqhbk9ibUAwlFAEy8qXty+i9cexGXA==" saltValue="ULRUjdInyqeLyG1aQGKX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LA RIOJA</v>
      </c>
      <c r="C2" s="390"/>
    </row>
    <row r="3" spans="1:78" ht="19.5">
      <c r="A3" s="424" t="s">
        <v>11</v>
      </c>
      <c r="B3" s="390" t="str">
        <f>Criterios!A10 &amp;"  "&amp;Criterios!B10</f>
        <v>Provincias  LA RIOJA</v>
      </c>
      <c r="C3" s="390"/>
      <c r="D3" s="424"/>
      <c r="BZ3" s="470"/>
    </row>
    <row r="4" spans="1:78" ht="13.5" thickBot="1">
      <c r="B4" s="390" t="str">
        <f>Criterios!A11 &amp;"  "&amp;Criterios!B11</f>
        <v>Resumenes por Partidos Judiciales  LOGROÑO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586</v>
      </c>
      <c r="E9" s="403">
        <f t="shared" ref="E9:E13" si="0">IF(ISNUMBER(D9/B9),D9/B9," - ")</f>
        <v>97.666666666666671</v>
      </c>
      <c r="F9" s="402">
        <f>IF(ISNUMBER(Datos!N9),Datos!N9," - ")</f>
        <v>804</v>
      </c>
      <c r="G9" s="403">
        <f t="shared" ref="G9:G13" si="1">IF(ISNUMBER(F9/B9),F9/B9," - ")</f>
        <v>134</v>
      </c>
      <c r="H9" s="402">
        <f>IF(ISNUMBER(Datos!O9),Datos!O9," - ")</f>
        <v>1293</v>
      </c>
      <c r="I9" s="403">
        <f>IF(ISNUMBER(H9/B9),H9/B9," - ")</f>
        <v>215.5</v>
      </c>
      <c r="BZ9" s="1185">
        <f>Datos!EZ9</f>
        <v>0</v>
      </c>
    </row>
    <row r="10" spans="1:78">
      <c r="A10" s="401" t="str">
        <f>Datos!A10</f>
        <v>Jdos. Violencia contra la mujer/Secc Viol. TI.</v>
      </c>
      <c r="B10" s="426">
        <f>Datos!AO10</f>
        <v>1</v>
      </c>
      <c r="C10" s="409">
        <f>Datos!AQ10</f>
        <v>1</v>
      </c>
      <c r="D10" s="402">
        <f>IF(ISNUMBER(Datos!M10),Datos!M10," - ")</f>
        <v>17</v>
      </c>
      <c r="E10" s="403">
        <f>IF(ISNUMBER(D10/B10),D10/B10," - ")</f>
        <v>17</v>
      </c>
      <c r="F10" s="402">
        <f>IF(ISNUMBER(Datos!N10),Datos!N10," - ")</f>
        <v>32</v>
      </c>
      <c r="G10" s="403">
        <f>IF(ISNUMBER(F10/B10),F10/B10," - ")</f>
        <v>32</v>
      </c>
      <c r="H10" s="402">
        <f>IF(ISNUMBER(Datos!O10),Datos!O10," - ")</f>
        <v>1</v>
      </c>
      <c r="I10" s="403">
        <f t="shared" ref="I10:I12" si="2">IF(ISNUMBER(H10/B10),H10/B10," - ")</f>
        <v>1</v>
      </c>
      <c r="BZ10" s="1185">
        <f>Datos!EZ10</f>
        <v>0</v>
      </c>
    </row>
    <row r="11" spans="1:78">
      <c r="A11" s="401" t="str">
        <f>Datos!A11</f>
        <v xml:space="preserve">Jdos. Familia                                   </v>
      </c>
      <c r="B11" s="426">
        <f>Datos!AO11</f>
        <v>1</v>
      </c>
      <c r="C11" s="409">
        <f>Datos!AQ11</f>
        <v>1</v>
      </c>
      <c r="D11" s="402">
        <f>IF(ISNUMBER(Datos!M11),Datos!M11," - ")</f>
        <v>147</v>
      </c>
      <c r="E11" s="403">
        <f t="shared" si="0"/>
        <v>147</v>
      </c>
      <c r="F11" s="402">
        <f>IF(ISNUMBER(Datos!N11),Datos!N11," - ")</f>
        <v>238</v>
      </c>
      <c r="G11" s="403">
        <f t="shared" si="1"/>
        <v>238</v>
      </c>
      <c r="H11" s="402">
        <f>IF(ISNUMBER(Datos!O11),Datos!O11," - ")</f>
        <v>84</v>
      </c>
      <c r="I11" s="403">
        <f t="shared" si="2"/>
        <v>84</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8</v>
      </c>
      <c r="C13" s="850">
        <f>Datos!AR13</f>
        <v>8</v>
      </c>
      <c r="D13" s="848">
        <f>SUBTOTAL(9,D9:D12)</f>
        <v>750</v>
      </c>
      <c r="E13" s="849">
        <f t="shared" si="0"/>
        <v>93.75</v>
      </c>
      <c r="F13" s="848">
        <f>SUBTOTAL(9,F9:F12)</f>
        <v>1074</v>
      </c>
      <c r="G13" s="849">
        <f t="shared" si="1"/>
        <v>134.25</v>
      </c>
      <c r="H13" s="848">
        <f>SUBTOTAL(9,H9:H12)</f>
        <v>1378</v>
      </c>
      <c r="I13" s="849">
        <f>IF(ISNUMBER(H13/B13),H13/B13," - ")</f>
        <v>172.25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354</v>
      </c>
      <c r="E15" s="403">
        <f t="shared" ref="E15:E18" si="3">IF(ISNUMBER(D15/B15),D15/B15," - ")</f>
        <v>118</v>
      </c>
      <c r="F15" s="402">
        <f>IF(ISNUMBER(Datos!N15),Datos!N15," - ")</f>
        <v>1055</v>
      </c>
      <c r="G15" s="403">
        <f t="shared" ref="G15:G18" si="4">IF(ISNUMBER(F15/B15),F15/B15," - ")</f>
        <v>351.66666666666669</v>
      </c>
      <c r="H15" s="402">
        <f>IF(ISNUMBER(Datos!O15),Datos!O15," - ")</f>
        <v>52</v>
      </c>
      <c r="I15" s="403">
        <f t="shared" ref="I15:I17" si="5">IF(ISNUMBER(H15/B15),H15/B15," - ")</f>
        <v>17.333333333333332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51</v>
      </c>
      <c r="E17" s="403">
        <f>IF(ISNUMBER(D17/B17),D17/B17," - ")</f>
        <v>51</v>
      </c>
      <c r="F17" s="402">
        <f>IF(ISNUMBER(Datos!N17),Datos!N17," - ")</f>
        <v>125</v>
      </c>
      <c r="G17" s="403">
        <f>IF(ISNUMBER(F17/B17),F17/B17," - ")</f>
        <v>125</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405</v>
      </c>
      <c r="E18" s="849">
        <f t="shared" si="3"/>
        <v>101.25</v>
      </c>
      <c r="F18" s="848">
        <f>SUBTOTAL(9,F15:F17)</f>
        <v>1180</v>
      </c>
      <c r="G18" s="849">
        <f t="shared" si="4"/>
        <v>295</v>
      </c>
      <c r="H18" s="848">
        <f>SUBTOTAL(9,H15:H17)</f>
        <v>52</v>
      </c>
      <c r="I18" s="849">
        <f>IF(ISNUMBER(H18/B18),H18/B18," - ")</f>
        <v>13</v>
      </c>
      <c r="BZ18" s="1185"/>
    </row>
    <row r="19" spans="1:78" ht="14.25" thickTop="1" thickBot="1">
      <c r="A19" s="792" t="str">
        <f>Datos!A19</f>
        <v>TOTAL JURISDICCIONES</v>
      </c>
      <c r="B19" s="793">
        <f>Datos!AP19</f>
        <v>11</v>
      </c>
      <c r="C19" s="793">
        <f>Datos!AR19</f>
        <v>11</v>
      </c>
      <c r="D19" s="793">
        <f>SUBTOTAL(9,D8:D18)</f>
        <v>1155</v>
      </c>
      <c r="E19" s="794">
        <f>IF(ISNUMBER(D19/B19),D19/B19," - ")</f>
        <v>105</v>
      </c>
      <c r="F19" s="793">
        <f>SUBTOTAL(9,F8:F18)</f>
        <v>2254</v>
      </c>
      <c r="G19" s="794">
        <f>IF(ISNUMBER(F19/B19),F19/B19," - ")</f>
        <v>204.90909090909091</v>
      </c>
      <c r="H19" s="793">
        <f>SUBTOTAL(9,H8:H18)</f>
        <v>1430</v>
      </c>
      <c r="I19" s="794">
        <f>IF(ISNUMBER(H19/B19),H19/B19," - ")</f>
        <v>130</v>
      </c>
    </row>
    <row r="22" spans="1:78">
      <c r="A22" s="390" t="str">
        <f>Criterios!A4</f>
        <v>Fecha Informe: 17 mar. 2026</v>
      </c>
    </row>
    <row r="27" spans="1:78">
      <c r="A27" s="413"/>
    </row>
  </sheetData>
  <sheetProtection algorithmName="SHA-512" hashValue="nus9erNmXpKFh1czxPP3hp1CqCWBDwFnSngymiCkxWPLaGotTzRS2hFPjmVrrjmbvEjfFOAVo4anraY7/Sm8rw==" saltValue="gThKNyTSRi8XIU9yLyAhX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LA RIOJA</v>
      </c>
    </row>
    <row r="3" spans="1:4" ht="19.5">
      <c r="A3" s="428" t="s">
        <v>32</v>
      </c>
      <c r="B3" s="390" t="str">
        <f>Criterios!A10 &amp;"  "&amp;Criterios!B10</f>
        <v>Provincias  LA RIOJA</v>
      </c>
    </row>
    <row r="4" spans="1:4" ht="13.5" thickBot="1">
      <c r="B4" s="390" t="str">
        <f>Criterios!A11 &amp;"  "&amp;Criterios!B11</f>
        <v>Resumenes por Partidos Judiciales  LOGROÑO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921</v>
      </c>
      <c r="C9" s="433">
        <f>IF(ISNUMBER(Datos!Q9),Datos!Q9," - ")</f>
        <v>1079</v>
      </c>
      <c r="D9" s="407">
        <f>IF(ISNUMBER(Datos!R9),Datos!R9," - ")</f>
        <v>9962</v>
      </c>
    </row>
    <row r="10" spans="1:4">
      <c r="A10" s="401" t="str">
        <f>Datos!A10</f>
        <v>Jdos. Violencia contra la mujer/Secc Viol. TI.</v>
      </c>
      <c r="B10" s="432">
        <f>IF(ISNUMBER(Datos!P10),Datos!P10," - ")</f>
        <v>16</v>
      </c>
      <c r="C10" s="433">
        <f>IF(ISNUMBER(Datos!Q10),Datos!Q10," - ")</f>
        <v>15</v>
      </c>
      <c r="D10" s="407">
        <f>IF(ISNUMBER(Datos!R10),Datos!R10," - ")</f>
        <v>192</v>
      </c>
    </row>
    <row r="11" spans="1:4">
      <c r="A11" s="401" t="str">
        <f>Datos!A11</f>
        <v xml:space="preserve">Jdos. Familia                                   </v>
      </c>
      <c r="B11" s="432">
        <f>IF(ISNUMBER(Datos!P11),Datos!P11," - ")</f>
        <v>34</v>
      </c>
      <c r="C11" s="433">
        <f>IF(ISNUMBER(Datos!Q11),Datos!Q11," - ")</f>
        <v>270</v>
      </c>
      <c r="D11" s="407">
        <f>IF(ISNUMBER(Datos!R11),Datos!R11," - ")</f>
        <v>278</v>
      </c>
    </row>
    <row r="12" spans="1:4" ht="13.5" thickBot="1">
      <c r="A12" s="401" t="str">
        <f>Datos!A12</f>
        <v xml:space="preserve">Jdos. 1ª Instª. e Instr./Secc. Civil y de Inst. TI                      </v>
      </c>
      <c r="B12" s="432">
        <f>IF(ISNUMBER(Datos!P12),Datos!P12," - ")</f>
        <v>0</v>
      </c>
      <c r="C12" s="433">
        <f>IF(ISNUMBER(Datos!Q12),Datos!Q12," - ")</f>
        <v>0</v>
      </c>
      <c r="D12" s="407">
        <f>IF(ISNUMBER(Datos!R12),Datos!R12," - ")</f>
        <v>49</v>
      </c>
    </row>
    <row r="13" spans="1:4" ht="14.25" thickTop="1" thickBot="1">
      <c r="A13" s="847" t="str">
        <f>Datos!A13</f>
        <v>TOTAL</v>
      </c>
      <c r="B13" s="848">
        <f>SUBTOTAL(9,B9:B12)</f>
        <v>971</v>
      </c>
      <c r="C13" s="852">
        <f>SUBTOTAL(9,C9:C12)</f>
        <v>1364</v>
      </c>
      <c r="D13" s="850">
        <f>SUBTOTAL(9,D9:D12)</f>
        <v>10481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102</v>
      </c>
      <c r="C15" s="433">
        <f>IF(ISNUMBER(Datos!Q15),Datos!Q15," - ")</f>
        <v>122</v>
      </c>
      <c r="D15" s="407">
        <f>IF(ISNUMBER(Datos!R15),Datos!R15," - ")</f>
        <v>333</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v>
      </c>
      <c r="C17" s="433">
        <f>IF(ISNUMBER(Datos!Q17),Datos!Q17," - ")</f>
        <v>11</v>
      </c>
      <c r="D17" s="407">
        <f>IF(ISNUMBER(Datos!R17),Datos!R17," - ")</f>
        <v>7</v>
      </c>
    </row>
    <row r="18" spans="1:4" ht="14.25" thickTop="1" thickBot="1">
      <c r="A18" s="847" t="str">
        <f>Datos!A18</f>
        <v>TOTAL</v>
      </c>
      <c r="B18" s="848">
        <f>SUBTOTAL(9,B15:B17)</f>
        <v>109</v>
      </c>
      <c r="C18" s="852">
        <f>SUBTOTAL(9,C15:C17)</f>
        <v>133</v>
      </c>
      <c r="D18" s="850">
        <f>SUBTOTAL(9,D15:D17)</f>
        <v>340</v>
      </c>
    </row>
    <row r="19" spans="1:4" ht="16.5" customHeight="1" thickTop="1" thickBot="1">
      <c r="A19" s="792" t="str">
        <f>Datos!A19</f>
        <v>TOTAL JURISDICCIONES</v>
      </c>
      <c r="B19" s="797">
        <f>SUBTOTAL(9,B8:B18)</f>
        <v>1080</v>
      </c>
      <c r="C19" s="798">
        <f>SUBTOTAL(9,C8:C18)</f>
        <v>1497</v>
      </c>
      <c r="D19" s="799">
        <f>SUBTOTAL(9,D8:D18)</f>
        <v>10821</v>
      </c>
    </row>
    <row r="20" spans="1:4" ht="7.5" customHeight="1"/>
    <row r="21" spans="1:4" ht="6" customHeight="1"/>
    <row r="22" spans="1:4">
      <c r="A22" s="390" t="str">
        <f>Criterios!A4</f>
        <v>Fecha Informe: 17 mar. 2026</v>
      </c>
    </row>
    <row r="27" spans="1:4">
      <c r="A27" s="413"/>
    </row>
  </sheetData>
  <sheetProtection algorithmName="SHA-512" hashValue="lEdpE2haadykBQu4qwTunJSTqRdRbBlViXgWAA2C53xu/mYht6jslP9qoXN3T7z81GY+HDX+Kyij5dPBe6m5tQ==" saltValue="5B9JRp5gCualZ7EgQBed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LA RIOJA</v>
      </c>
    </row>
    <row r="3" spans="1:11" ht="18.75" customHeight="1">
      <c r="A3" s="428" t="s">
        <v>118</v>
      </c>
      <c r="B3" s="390" t="str">
        <f>Criterios!A10 &amp;"  "&amp;Criterios!B10</f>
        <v>Provincias  LA RIOJA</v>
      </c>
    </row>
    <row r="4" spans="1:11" ht="10.5" customHeight="1" thickBot="1">
      <c r="B4" s="390" t="str">
        <f>Criterios!A11 &amp;"  "&amp;Criterios!B11</f>
        <v>Resumenes por Partidos Judiciales  LOGROÑO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-0.36667879228810474</v>
      </c>
      <c r="C9" s="455">
        <f>IF(ISNUMBER(
   IF(J_V="SI",(Datos!J9-Datos!T9)/Datos!T9,(Datos!J9+Datos!Z9-(Datos!T9+Datos!AH9))/(Datos!T9+Datos!AH9))
     ),IF(J_V="SI",(Datos!J9-Datos!T9)/Datos!T9,(Datos!J9+Datos!Z9-(Datos!T9+Datos!AH9))/(Datos!T9+Datos!AH9))," - ")</f>
        <v>-0.25514874141876431</v>
      </c>
      <c r="D9" s="455">
        <f>IF(ISNUMBER(
   IF(J_V="SI",(Datos!K9-Datos!U9)/Datos!U9,(Datos!K9+Datos!AA9-(Datos!U9+Datos!AI9))/(Datos!U9+Datos!AI9))
     ),IF(J_V="SI",(Datos!K9-Datos!U9)/Datos!U9,(Datos!K9+Datos!AA9-(Datos!U9+Datos!AI9))/(Datos!U9+Datos!AI9))," - ")</f>
        <v>-0.27029769959404598</v>
      </c>
      <c r="E9" s="455">
        <f>IF(ISNUMBER(
   IF(J_V="SI",(Datos!L9-Datos!V9)/Datos!V9,(Datos!L9+Datos!AB9-(Datos!V9+Datos!AJ9))/(Datos!V9+Datos!AJ9))
     ),IF(J_V="SI",(Datos!L9-Datos!V9)/Datos!V9,(Datos!L9+Datos!AB9-(Datos!V9+Datos!AJ9))/(Datos!V9+Datos!AJ9))," - ")</f>
        <v>-0.36522075910147173</v>
      </c>
      <c r="F9" s="455">
        <f>IF(ISNUMBER((Datos!M9-Datos!W9)/Datos!W9),(Datos!M9-Datos!W9)/Datos!W9," - ")</f>
        <v>-0.41980198019801979</v>
      </c>
      <c r="G9" s="456">
        <f>IF(ISNUMBER((Datos!N9-Datos!X9)/Datos!X9),(Datos!N9-Datos!X9)/Datos!X9," - ")</f>
        <v>-9.7643097643097643E-2</v>
      </c>
      <c r="H9" s="454">
        <f>IF(ISNUMBER(((NºAsuntos!G9/NºAsuntos!E9)-Datos!BD9)/Datos!BD9),((NºAsuntos!G9/NºAsuntos!E9)-Datos!BD9)/Datos!BD9," - ")</f>
        <v>-2.0338232634709876E-2</v>
      </c>
      <c r="I9" s="455">
        <f>IF(ISNUMBER(((NºAsuntos!I9/NºAsuntos!G9)-Datos!BE9)/Datos!BE9),((NºAsuntos!I9/NºAsuntos!G9)-Datos!BE9)/Datos!BE9," - ")</f>
        <v>-0.13008463787851193</v>
      </c>
      <c r="J9" s="460">
        <f>IF(ISNUMBER((('Resol  Asuntos'!D9/NºAsuntos!G9)-Datos!BF9)/Datos!BF9),(('Resol  Asuntos'!D9/NºAsuntos!G9)-Datos!BF9)/Datos!BF9," - ")</f>
        <v>-9.8689985415375603E-2</v>
      </c>
      <c r="K9" s="461">
        <f>IF(ISNUMBER((((NºAsuntos!C9+NºAsuntos!E9)/NºAsuntos!G9)-Datos!BG9)/Datos!BG9),(((NºAsuntos!C9+NºAsuntos!E9)/NºAsuntos!G9)-Datos!BG9)/Datos!BG9," - ")</f>
        <v>-8.2728703202541415E-2</v>
      </c>
    </row>
    <row r="10" spans="1:11" ht="21">
      <c r="A10" s="401" t="str">
        <f>Datos!A10</f>
        <v>Jdos. Violencia contra la mujer/Secc Viol. TI.</v>
      </c>
      <c r="B10" s="454">
        <f>IF(ISNUMBER((Datos!I10-Datos!S10)/Datos!S10),(Datos!I10-Datos!S10)/Datos!S10," - ")</f>
        <v>0.2288135593220339</v>
      </c>
      <c r="C10" s="455">
        <f>IF(ISNUMBER((Datos!J10-Datos!T10)/Datos!T10),(Datos!J10-Datos!T10)/Datos!T10," - ")</f>
        <v>0.21568627450980393</v>
      </c>
      <c r="D10" s="455">
        <f>IF(ISNUMBER((Datos!K10-Datos!U10)/Datos!U10),(Datos!K10-Datos!U10)/Datos!U10," - ")</f>
        <v>-0.2</v>
      </c>
      <c r="E10" s="455">
        <f>IF(ISNUMBER((Datos!L10-Datos!V10)/Datos!V10),(Datos!L10-Datos!V10)/Datos!V10," - ")</f>
        <v>0.42982456140350878</v>
      </c>
      <c r="F10" s="455">
        <f>IF(ISNUMBER((Datos!M10-Datos!W10)/Datos!W10),(Datos!M10-Datos!W10)/Datos!W10," - ")</f>
        <v>-0.43333333333333335</v>
      </c>
      <c r="G10" s="456">
        <f>IF(ISNUMBER((Datos!N10-Datos!X10)/Datos!X10),(Datos!N10-Datos!X10)/Datos!X10," - ")</f>
        <v>0.68421052631578949</v>
      </c>
      <c r="H10" s="454">
        <f>IF(ISNUMBER(((NºAsuntos!G10/NºAsuntos!E10)-Datos!BD10)/Datos!BD10),((NºAsuntos!G10/NºAsuntos!E10)-Datos!BD10)/Datos!BD10," - ")</f>
        <v>-0.34193548387096767</v>
      </c>
      <c r="I10" s="455">
        <f>IF(ISNUMBER(((NºAsuntos!I10/NºAsuntos!G10)-Datos!BE10)/Datos!BE10),((NºAsuntos!I10/NºAsuntos!G10)-Datos!BE10)/Datos!BE10," - ")</f>
        <v>0.78728070175438591</v>
      </c>
      <c r="J10" s="460">
        <f>IF(ISNUMBER((('Resol  Asuntos'!D10/NºAsuntos!G10)-Datos!BF10)/Datos!BF10),(('Resol  Asuntos'!D10/NºAsuntos!G10)-Datos!BF10)/Datos!BF10," - ")</f>
        <v>-0.29166666666666663</v>
      </c>
      <c r="K10" s="461">
        <f>IF(ISNUMBER((((NºAsuntos!C10+NºAsuntos!E10)/NºAsuntos!G10)-Datos!BG10)/Datos!BG10),(((NºAsuntos!C10+NºAsuntos!E10)/NºAsuntos!G10)-Datos!BG10)/Datos!BG10," - ")</f>
        <v>0.53106508875739633</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-0.15578465063001146</v>
      </c>
      <c r="C11" s="455">
        <f>IF(ISNUMBER(
   IF(J_V="SI",(Datos!J11-Datos!T11)/Datos!T11,(Datos!J11+Datos!Z11-(Datos!T11+Datos!AH11))/(Datos!T11+Datos!AH11))
     ),IF(J_V="SI",(Datos!J11-Datos!T11)/Datos!T11,(Datos!J11+Datos!Z11-(Datos!T11+Datos!AH11))/(Datos!T11+Datos!AH11))," - ")</f>
        <v>-0.1048951048951049</v>
      </c>
      <c r="D11" s="455">
        <f>IF(ISNUMBER(
   IF(J_V="SI",(Datos!K11-Datos!U11)/Datos!U11,(Datos!K11+Datos!AA11-(Datos!U11+Datos!AI11))/(Datos!U11+Datos!AI11))
     ),IF(J_V="SI",(Datos!K11-Datos!U11)/Datos!U11,(Datos!K11+Datos!AA11-(Datos!U11+Datos!AI11))/(Datos!U11+Datos!AI11))," - ")</f>
        <v>-0.12362030905077263</v>
      </c>
      <c r="E11" s="455">
        <f>IF(ISNUMBER(
   IF(J_V="SI",(Datos!L11-Datos!V11)/Datos!V11,(Datos!L11+Datos!AB11-(Datos!V11+Datos!AJ11))/(Datos!V11+Datos!AJ11))
     ),IF(J_V="SI",(Datos!L11-Datos!V11)/Datos!V11,(Datos!L11+Datos!AB11-(Datos!V11+Datos!AJ11))/(Datos!V11+Datos!AJ11))," - ")</f>
        <v>-0.14723203769140164</v>
      </c>
      <c r="F11" s="455">
        <f>IF(ISNUMBER((Datos!M11-Datos!W11)/Datos!W11),(Datos!M11-Datos!W11)/Datos!W11," - ")</f>
        <v>-0.19672131147540983</v>
      </c>
      <c r="G11" s="456">
        <f>IF(ISNUMBER((Datos!N11-Datos!X11)/Datos!X11),(Datos!N11-Datos!X11)/Datos!X11," - ")</f>
        <v>0.25925925925925924</v>
      </c>
      <c r="H11" s="454">
        <f>IF(ISNUMBER(((NºAsuntos!G11/NºAsuntos!E11)-Datos!BD11)/Datos!BD11),((NºAsuntos!G11/NºAsuntos!E11)-Datos!BD11)/Datos!BD11," - ")</f>
        <v>-2.0919564017660069E-2</v>
      </c>
      <c r="I11" s="455">
        <f>IF(ISNUMBER(((NºAsuntos!I11/NºAsuntos!G11)-Datos!BE11)/Datos!BE11),((NºAsuntos!I11/NºAsuntos!G11)-Datos!BE11)/Datos!BE11," - ")</f>
        <v>-2.6942350312858805E-2</v>
      </c>
      <c r="J11" s="460">
        <f>IF(ISNUMBER((('Resol  Asuntos'!D11/NºAsuntos!G11)-Datos!BF11)/Datos!BF11),(('Resol  Asuntos'!D11/NºAsuntos!G11)-Datos!BF11)/Datos!BF11," - ")</f>
        <v>-0.11251049538203198</v>
      </c>
      <c r="K11" s="461">
        <f>IF(ISNUMBER((((NºAsuntos!C11+NºAsuntos!E11)/NºAsuntos!G11)-Datos!BG11)/Datos!BG11),(((NºAsuntos!C11+NºAsuntos!E11)/NºAsuntos!G11)-Datos!BG11)/Datos!BG11," - ")</f>
        <v>-1.756839893672598E-2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-1</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-0.32742681047765793</v>
      </c>
      <c r="C13" s="854">
        <f>IF(ISNUMBER(
   IF(J_V="SI",(Datos!J13-Datos!T13)/Datos!T13,(Datos!J13+Datos!Z13-(Datos!T13+Datos!AH13))/(Datos!T13+Datos!AH13))
     ),IF(J_V="SI",(Datos!J13-Datos!T13)/Datos!T13,(Datos!J13+Datos!Z13-(Datos!T13+Datos!AH13))/(Datos!T13+Datos!AH13))," - ")</f>
        <v>-0.22662798194713088</v>
      </c>
      <c r="D13" s="854">
        <f>IF(ISNUMBER(
   IF(J_V="SI",(Datos!K13-Datos!U13)/Datos!U13,(Datos!K13+Datos!AA13-(Datos!U13+Datos!AI13))/(Datos!U13+Datos!AI13))
     ),IF(J_V="SI",(Datos!K13-Datos!U13)/Datos!U13,(Datos!K13+Datos!AA13-(Datos!U13+Datos!AI13))/(Datos!U13+Datos!AI13))," - ")</f>
        <v>-0.25</v>
      </c>
      <c r="E13" s="854">
        <f>IF(ISNUMBER(
   IF(J_V="SI",(Datos!L13-Datos!V13)/Datos!V13,(Datos!L13+Datos!AB13-(Datos!V13+Datos!AJ13))/(Datos!V13+Datos!AJ13))
     ),IF(J_V="SI",(Datos!L13-Datos!V13)/Datos!V13,(Datos!L13+Datos!AB13-(Datos!V13+Datos!AJ13))/(Datos!V13+Datos!AJ13))," - ")</f>
        <v>-0.32033289817232374</v>
      </c>
      <c r="F13" s="855">
        <f>IF(ISNUMBER((Datos!M13-Datos!W13)/Datos!W13),(Datos!M13-Datos!W13)/Datos!W13," - ")</f>
        <v>-0.38675388389206866</v>
      </c>
      <c r="G13" s="856">
        <f>IF(ISNUMBER((Datos!N13-Datos!X13)/Datos!X13),(Datos!N13-Datos!X13)/Datos!X13," - ")</f>
        <v>-2.2747952684258416E-2</v>
      </c>
      <c r="H13" s="856">
        <f>IF(ISNUMBER(((NºAsuntos!G13/NºAsuntos!E13)-Datos!BD13)/Datos!BD13),((NºAsuntos!G13/NºAsuntos!E13)-Datos!BD13)/Datos!BD13," - ")</f>
        <v>-3.022092538557733E-2</v>
      </c>
      <c r="I13" s="856">
        <f>IF(ISNUMBER(((NºAsuntos!I13/NºAsuntos!G13)-Datos!BE13)/Datos!BE13),((NºAsuntos!I13/NºAsuntos!G13)-Datos!BE13)/Datos!BE13," - ")</f>
        <v>-9.3777197563098297E-2</v>
      </c>
      <c r="J13" s="856">
        <f>IF(ISNUMBER((('Resol  Asuntos'!D13/NºAsuntos!G13)-Datos!BF13)/Datos!BF13),(('Resol  Asuntos'!D13/NºAsuntos!G13)-Datos!BF13)/Datos!BF13," - ")</f>
        <v>-9.9099099099099169E-2</v>
      </c>
      <c r="K13" s="856">
        <f>IF(ISNUMBER((((NºAsuntos!C13+NºAsuntos!E13)/NºAsuntos!G13)-Datos!BG13)/Datos!BG13),(((NºAsuntos!C13+NºAsuntos!E13)/NºAsuntos!G13)-Datos!BG13)/Datos!BG13," - ")</f>
        <v>-5.97720322490966E-2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-0.1217333774396295</v>
      </c>
      <c r="C15" s="455">
        <f>IF(ISNUMBER(
   IF(D_I="SI",(Datos!J15-Datos!T15)/Datos!T15,(Datos!J15+Datos!AD15-(Datos!T15+Datos!AL15))/(Datos!T15+Datos!AL15))
     ),IF(D_I="SI",(Datos!J15-Datos!T15)/Datos!T15,(Datos!J15+Datos!AD15-(Datos!T15+Datos!AL15))/(Datos!T15+Datos!AL15))," - ")</f>
        <v>5.8280718795531809E-3</v>
      </c>
      <c r="D15" s="455">
        <f>IF(ISNUMBER(
   IF(D_I="SI",(Datos!K15-Datos!U15)/Datos!U15,(Datos!K15+Datos!AE15-(Datos!U15+Datos!AM15))/(Datos!U15+Datos!AM15))
     ),IF(D_I="SI",(Datos!K15-Datos!U15)/Datos!U15,(Datos!K15+Datos!AE15-(Datos!U15+Datos!AM15))/(Datos!U15+Datos!AM15))," - ")</f>
        <v>-0.25794392523364484</v>
      </c>
      <c r="E15" s="455">
        <f>IF(ISNUMBER(
   IF(D_I="SI",(Datos!L15-Datos!V15)/Datos!V15,(Datos!L15+Datos!AF15-(Datos!V15+Datos!AN15))/(Datos!V15+Datos!AN15))
     ),IF(D_I="SI",(Datos!L15-Datos!V15)/Datos!V15,(Datos!L15+Datos!AF15-(Datos!V15+Datos!AN15))/(Datos!V15+Datos!AN15))," - ")</f>
        <v>0.11740725642070933</v>
      </c>
      <c r="F15" s="455">
        <f>IF(ISNUMBER((Datos!M15-Datos!W15)/Datos!W15),(Datos!M15-Datos!W15)/Datos!W15," - ")</f>
        <v>-2.4793388429752067E-2</v>
      </c>
      <c r="G15" s="456">
        <f>IF(ISNUMBER((Datos!N15-Datos!X15)/Datos!X15),(Datos!N15-Datos!X15)/Datos!X15," - ")</f>
        <v>-0.25441696113074203</v>
      </c>
      <c r="H15" s="454">
        <f>IF(ISNUMBER(((NºAsuntos!G15/NºAsuntos!E15)-Datos!BD15)/Datos!BD15),((NºAsuntos!G15/NºAsuntos!E15)-Datos!BD15)/Datos!BD15," - ")</f>
        <v>-0.26224362243171162</v>
      </c>
      <c r="I15" s="455">
        <f>IF(ISNUMBER(((NºAsuntos!I15/NºAsuntos!G15)-Datos!BE15)/Datos!BE15),((NºAsuntos!I15/NºAsuntos!G15)-Datos!BE15)/Datos!BE15," - ")</f>
        <v>0.5058258997105276</v>
      </c>
      <c r="J15" s="460">
        <f>IF(ISNUMBER((('Resol  Asuntos'!D15/NºAsuntos!G15)-Datos!BF15)/Datos!BF15),(('Resol  Asuntos'!D15/NºAsuntos!G15)-Datos!BF15)/Datos!BF15," - ")</f>
        <v>0.31419530778358357</v>
      </c>
      <c r="K15" s="461">
        <f>IF(ISNUMBER((((NºAsuntos!C15+NºAsuntos!E15)/NºAsuntos!G15)-Datos!BG15)/Datos!BG15),(((NºAsuntos!C15+NºAsuntos!E15)/NºAsuntos!G15)-Datos!BG15)/Datos!BG15," - ")</f>
        <v>0.25320561432308641</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0.3808139534883721</v>
      </c>
      <c r="C17" s="455">
        <f>IF(ISNUMBER(
   IF(D_I="SI",(Datos!J17-Datos!T17)/Datos!T17,(Datos!J17+Datos!AD17-(Datos!T17+Datos!AL17))/(Datos!T17+Datos!AL17))
     ),IF(D_I="SI",(Datos!J17-Datos!T17)/Datos!T17,(Datos!J17+Datos!AD17-(Datos!T17+Datos!AL17))/(Datos!T17+Datos!AL17))," - ")</f>
        <v>4.8192771084337352E-2</v>
      </c>
      <c r="D17" s="455">
        <f>IF(ISNUMBER(
   IF(D_I="SI",(Datos!K17-Datos!U17)/Datos!U17,(Datos!K17+Datos!AE17-(Datos!U17+Datos!AM17))/(Datos!U17+Datos!AM17))
     ),IF(D_I="SI",(Datos!K17-Datos!U17)/Datos!U17,(Datos!K17+Datos!AE17-(Datos!U17+Datos!AM17))/(Datos!U17+Datos!AM17))," - ")</f>
        <v>0.2530612244897959</v>
      </c>
      <c r="E17" s="455">
        <f>IF(ISNUMBER(
   IF(D_I="SI",(Datos!L17-Datos!V17)/Datos!V17,(Datos!L17+Datos!AF17-(Datos!V17+Datos!AN17))/(Datos!V17+Datos!AN17))
     ),IF(D_I="SI",(Datos!L17-Datos!V17)/Datos!V17,(Datos!L17+Datos!AF17-(Datos!V17+Datos!AN17))/(Datos!V17+Datos!AN17))," - ")</f>
        <v>0.19721577726218098</v>
      </c>
      <c r="F17" s="455">
        <f>IF(ISNUMBER((Datos!M17-Datos!W17)/Datos!W17),(Datos!M17-Datos!W17)/Datos!W17," - ")</f>
        <v>1.2173913043478262</v>
      </c>
      <c r="G17" s="456">
        <f>IF(ISNUMBER((Datos!N17-Datos!X17)/Datos!X17),(Datos!N17-Datos!X17)/Datos!X17," - ")</f>
        <v>0.58227848101265822</v>
      </c>
      <c r="H17" s="454">
        <f>IF(ISNUMBER(((NºAsuntos!G17/NºAsuntos!E17)-Datos!BD17)/Datos!BD17),((NºAsuntos!G17/NºAsuntos!E17)-Datos!BD17)/Datos!BD17," - ")</f>
        <v>0.19544921416842606</v>
      </c>
      <c r="I17" s="455">
        <f>IF(ISNUMBER(((NºAsuntos!I17/NºAsuntos!G17)-Datos!BE17)/Datos!BE17),((NºAsuntos!I17/NºAsuntos!G17)-Datos!BE17)/Datos!BE17," - ")</f>
        <v>-4.4567213585555855E-2</v>
      </c>
      <c r="J17" s="460">
        <f>IF(ISNUMBER((('Resol  Asuntos'!D17/NºAsuntos!G17)-Datos!BF17)/Datos!BF17),(('Resol  Asuntos'!D17/NºAsuntos!G17)-Datos!BF17)/Datos!BF17," - ")</f>
        <v>0.76957937969126178</v>
      </c>
      <c r="K17" s="461">
        <f>IF(ISNUMBER((((NºAsuntos!C17+NºAsuntos!E17)/NºAsuntos!G17)-Datos!BG17)/Datos!BG17),(((NºAsuntos!C17+NºAsuntos!E17)/NºAsuntos!G17)-Datos!BG17)/Datos!BG17," - ")</f>
        <v>-2.8414895052329407E-2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-7.0389070389070385E-2</v>
      </c>
      <c r="C18" s="854">
        <f>IF(ISNUMBER(
   IF(Criterios!B14="SI",(Datos!J18-Datos!T18)/Datos!T18,(Datos!J18+Datos!AD18-(Datos!T18+Datos!AL18))/(Datos!T18+Datos!AL18))
     ),IF(Criterios!B14="SI",(Datos!J18-Datos!T18)/Datos!T18,(Datos!J18+Datos!AD18-(Datos!T18+Datos!AL18))/(Datos!T18+Datos!AL18))," - ")</f>
        <v>1.1710581346716854E-2</v>
      </c>
      <c r="D18" s="854">
        <f>IF(ISNUMBER(
   IF(Criterios!B14="SI",(Datos!K18-Datos!U18)/Datos!U18,(Datos!K18+Datos!AE18-(Datos!U18+Datos!AM18))/(Datos!U18+Datos!AM18))
     ),IF(Criterios!B14="SI",(Datos!K18-Datos!U18)/Datos!U18,(Datos!K18+Datos!AE18-(Datos!U18+Datos!AM18))/(Datos!U18+Datos!AM18))," - ")</f>
        <v>-0.21506849315068494</v>
      </c>
      <c r="E18" s="854">
        <f>IF(ISNUMBER(
   IF(Criterios!B14="SI",(Datos!L18-Datos!V18)/Datos!V18,(Datos!L18+Datos!AF18-(Datos!V18+Datos!AN18))/(Datos!V18+Datos!AN18))
     ),IF(Criterios!B14="SI",(Datos!L18-Datos!V18)/Datos!V18,(Datos!L18+Datos!AF18-(Datos!V18+Datos!AN18))/(Datos!V18+Datos!AN18))," - ")</f>
        <v>0.12933425797503467</v>
      </c>
      <c r="F18" s="855">
        <f>IF(ISNUMBER((Datos!M18-Datos!W18)/Datos!W18),(Datos!M18-Datos!W18)/Datos!W18," - ")</f>
        <v>4.9222797927461141E-2</v>
      </c>
      <c r="G18" s="856">
        <f>IF(ISNUMBER((Datos!N18-Datos!X18)/Datos!X18),(Datos!N18-Datos!X18)/Datos!X18," - ")</f>
        <v>-0.21017402945113789</v>
      </c>
      <c r="H18" s="856">
        <f>IF(ISNUMBER(((NºAsuntos!G18/NºAsuntos!E18)-Datos!BD18)/Datos!BD18),((NºAsuntos!G18/NºAsuntos!E18)-Datos!BD18)/Datos!BD18," - ")</f>
        <v>-0.22415409967891178</v>
      </c>
      <c r="I18" s="856">
        <f>IF(ISNUMBER(((NºAsuntos!I18/NºAsuntos!G18)-Datos!BE18)/Datos!BE18),((NºAsuntos!I18/NºAsuntos!G18)-Datos!BE18)/Datos!BE18," - ")</f>
        <v>0.43876790283032335</v>
      </c>
      <c r="J18" s="856">
        <f>IF(ISNUMBER((('Resol  Asuntos'!D18/NºAsuntos!G18)-Datos!BF18)/Datos!BF18),(('Resol  Asuntos'!D18/NºAsuntos!G18)-Datos!BF18)/Datos!BF18," - ")</f>
        <v>0.33670618235086663</v>
      </c>
      <c r="K18" s="856">
        <f>IF(ISNUMBER((((NºAsuntos!C18+NºAsuntos!E18)/NºAsuntos!G18)-Datos!BG18)/Datos!BG18),(((NºAsuntos!C18+NºAsuntos!E18)/NºAsuntos!G18)-Datos!BG18)/Datos!BG18," - ")</f>
        <v>0.22775384365450727</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-0.23962666125596024</v>
      </c>
      <c r="C19" s="801">
        <f>IF(ISNUMBER(
   IF(J_V="SI",(Datos!J19-Datos!T19)/Datos!T19,(Datos!J19+Datos!Z19-(Datos!T19+Datos!AH19))/(Datos!T19+Datos!AH19))
     ),IF(J_V="SI",(Datos!J19-Datos!T19)/Datos!T19,(Datos!J19+Datos!Z19-(Datos!T19+Datos!AH19))/(Datos!T19+Datos!AH19))," - ")</f>
        <v>-0.12288367012561442</v>
      </c>
      <c r="D19" s="801">
        <f>IF(ISNUMBER(
   IF(J_V="SI",(Datos!K19-Datos!U19)/Datos!U19,(Datos!K19+Datos!AA19-(Datos!U19+Datos!AI19))/(Datos!U19+Datos!AI19))
     ),IF(J_V="SI",(Datos!K19-Datos!U19)/Datos!U19,(Datos!K19+Datos!AA19-(Datos!U19+Datos!AI19))/(Datos!U19+Datos!AI19))," - ")</f>
        <v>-0.23402255639097744</v>
      </c>
      <c r="E19" s="801">
        <f>IF(ISNUMBER(
   IF(J_V="SI",(Datos!L19-Datos!V19)/Datos!V19,(Datos!L19+Datos!AB19-(Datos!V19+Datos!AJ19))/(Datos!V19+Datos!AJ19))
     ),IF(J_V="SI",(Datos!L19-Datos!V19)/Datos!V19,(Datos!L19+Datos!AB19-(Datos!V19+Datos!AJ19))/(Datos!V19+Datos!AJ19))," - ")</f>
        <v>-0.17643142476697737</v>
      </c>
      <c r="F19" s="802">
        <f>IF(ISNUMBER((Datos!M19-Datos!W19)/Datos!W19),(Datos!M19-Datos!W19)/Datos!W19," - ")</f>
        <v>-0.28216283405842135</v>
      </c>
      <c r="G19" s="803">
        <f>IF(ISNUMBER((Datos!N19-Datos!X19)/Datos!X19),(Datos!N19-Datos!X19)/Datos!X19," - ")</f>
        <v>-0.130736598534516</v>
      </c>
      <c r="H19" s="804">
        <f>IF(ISNUMBER((Tasas!B19-Datos!BD19)/Datos!BD19),(Tasas!B19-Datos!BD19)/Datos!BD19," - ")</f>
        <v>-0.12670940270976322</v>
      </c>
      <c r="I19" s="805">
        <f>IF(ISNUMBER((Tasas!C19-Datos!BE19)/Datos!BE19),(Tasas!C19-Datos!BE19)/Datos!BE19," - ")</f>
        <v>7.5186458954522764E-2</v>
      </c>
      <c r="J19" s="806">
        <f>IF(ISNUMBER((Tasas!D19-Datos!BF19)/Datos!BF19),(Tasas!D19-Datos!BF19)/Datos!BF19," - ")</f>
        <v>7.9393720678455834E-3</v>
      </c>
      <c r="K19" s="806">
        <f>IF(ISNUMBER((Tasas!E19-Datos!BG19)/Datos!BG19),(Tasas!E19-Datos!BG19)/Datos!BG19," - ")</f>
        <v>4.7223836454107708E-2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ocRiDu9/GlZAAvC7oUGvr05sJg/glLyN/yVJcp5zRIlAty2VE8hvdw453bZoLtch3vWEVqKac6VDvR6MGalRQ==" saltValue="cfHDCZuoAO9lv0MdkJw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LA RIOJA</v>
      </c>
    </row>
    <row r="3" spans="1:7" ht="19.5">
      <c r="A3" s="435" t="s">
        <v>12</v>
      </c>
      <c r="B3" s="390" t="str">
        <f>Criterios!A10 &amp;"  "&amp;Criterios!B10</f>
        <v>Provincias  LA RIOJA</v>
      </c>
    </row>
    <row r="4" spans="1:7" ht="11.25" customHeight="1" thickBot="1">
      <c r="B4" s="390" t="str">
        <f>Criterios!A11 &amp;"  "&amp;Criterios!B11</f>
        <v>Resumenes por Partidos Judiciales  LOGROÑO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1.1044546850998465</v>
      </c>
      <c r="C9" s="442">
        <f>IF(ISNUMBER(NºAsuntos!I9/NºAsuntos!G9),NºAsuntos!I9/NºAsuntos!G9," - ")</f>
        <v>1.5197032916087159</v>
      </c>
      <c r="D9" s="443">
        <f>IF(ISNUMBER('Resol  Asuntos'!D9/NºAsuntos!G9),'Resol  Asuntos'!D9/NºAsuntos!G9," - ")</f>
        <v>0.2716736207695874</v>
      </c>
      <c r="E9" s="444">
        <f>IF(ISNUMBER((NºAsuntos!C9+NºAsuntos!E9)/NºAsuntos!G9),(NºAsuntos!C9+NºAsuntos!E9)/NºAsuntos!G9," - ")</f>
        <v>2.5197032916087156</v>
      </c>
      <c r="G9" s="462"/>
    </row>
    <row r="10" spans="1:7" ht="21">
      <c r="A10" s="401" t="str">
        <f>Datos!A10</f>
        <v>Jdos. Violencia contra la mujer/Secc Viol. TI.</v>
      </c>
      <c r="B10" s="441">
        <f>IF(ISNUMBER(NºAsuntos!G10/NºAsuntos!E10),NºAsuntos!G10/NºAsuntos!E10," - ")</f>
        <v>0.70967741935483875</v>
      </c>
      <c r="C10" s="442">
        <f>IF(ISNUMBER(NºAsuntos!I10/NºAsuntos!G10),NºAsuntos!I10/NºAsuntos!G10," - ")</f>
        <v>3.7045454545454546</v>
      </c>
      <c r="D10" s="443">
        <f>IF(ISNUMBER('Resol  Asuntos'!D10/NºAsuntos!G10),'Resol  Asuntos'!D10/NºAsuntos!G10," - ")</f>
        <v>0.38636363636363635</v>
      </c>
      <c r="E10" s="444">
        <f>IF(ISNUMBER((NºAsuntos!C10+NºAsuntos!E10)/NºAsuntos!G10),(NºAsuntos!C10+NºAsuntos!E10)/NºAsuntos!G10," - ")</f>
        <v>4.7045454545454541</v>
      </c>
      <c r="G10" s="462"/>
    </row>
    <row r="11" spans="1:7">
      <c r="A11" s="401" t="str">
        <f>Datos!A11</f>
        <v xml:space="preserve">Jdos. Familia                                   </v>
      </c>
      <c r="B11" s="441">
        <f>IF(ISNUMBER(NºAsuntos!G11/NºAsuntos!E11),NºAsuntos!G11/NºAsuntos!E11," - ")</f>
        <v>1.0338541666666667</v>
      </c>
      <c r="C11" s="442">
        <f>IF(ISNUMBER(NºAsuntos!I11/NºAsuntos!G11),NºAsuntos!I11/NºAsuntos!G11," - ")</f>
        <v>1.8236775818639799</v>
      </c>
      <c r="D11" s="443">
        <f>IF(ISNUMBER('Resol  Asuntos'!D11/NºAsuntos!G11),'Resol  Asuntos'!D11/NºAsuntos!G11," - ")</f>
        <v>0.37027707808564231</v>
      </c>
      <c r="E11" s="444">
        <f>IF(ISNUMBER((NºAsuntos!C11+NºAsuntos!E11)/NºAsuntos!G11),(NºAsuntos!C11+NºAsuntos!E11)/NºAsuntos!G11," - ")</f>
        <v>2.8236775818639797</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1.0829512296790329</v>
      </c>
      <c r="C13" s="858">
        <f>IF(ISNUMBER(NºAsuntos!I13/NºAsuntos!G13),NºAsuntos!I13/NºAsuntos!G13," - ")</f>
        <v>1.6031562740569669</v>
      </c>
      <c r="D13" s="859">
        <f>IF(ISNUMBER('Resol  Asuntos'!D13/NºAsuntos!G13),'Resol  Asuntos'!D13/NºAsuntos!G13," - ")</f>
        <v>0.28868360277136257</v>
      </c>
      <c r="E13" s="860">
        <f>IF(ISNUMBER((NºAsuntos!C13+NºAsuntos!E13)/NºAsuntos!G13),(NºAsuntos!C13+NºAsuntos!E13)/NºAsuntos!G13," - ")</f>
        <v>2.6035411855273285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0.95847416706904875</v>
      </c>
      <c r="C15" s="442">
        <f>IF(ISNUMBER(NºAsuntos!I15/NºAsuntos!G15),NºAsuntos!I15/NºAsuntos!G15," - ")</f>
        <v>1.3808564231738034</v>
      </c>
      <c r="D15" s="443">
        <f>IF(ISNUMBER('Resol  Asuntos'!D15/NºAsuntos!G15),'Resol  Asuntos'!D15/NºAsuntos!G15," - ")</f>
        <v>0.17833753148614609</v>
      </c>
      <c r="E15" s="444">
        <f>IF(ISNUMBER((NºAsuntos!C15+NºAsuntos!E15)/NºAsuntos!G15),(NºAsuntos!C15+NºAsuntos!E15)/NºAsuntos!G15," - ")</f>
        <v>2.3808564231738036</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0.88218390804597702</v>
      </c>
      <c r="C17" s="442">
        <f>IF(ISNUMBER(NºAsuntos!I17/NºAsuntos!G17),NºAsuntos!I17/NºAsuntos!G17," - ")</f>
        <v>1.6807817589576548</v>
      </c>
      <c r="D17" s="443">
        <f>IF(ISNUMBER('Resol  Asuntos'!D17/NºAsuntos!G17),'Resol  Asuntos'!D17/NºAsuntos!G17," - ")</f>
        <v>0.16612377850162866</v>
      </c>
      <c r="E17" s="444">
        <f>IF(ISNUMBER((NºAsuntos!C17+NºAsuntos!E17)/NºAsuntos!G17),(NºAsuntos!C17+NºAsuntos!E17)/NºAsuntos!G17," - ")</f>
        <v>2.6807817589576546</v>
      </c>
      <c r="G17" s="462"/>
    </row>
    <row r="18" spans="1:7" ht="14.25" thickTop="1" thickBot="1">
      <c r="A18" s="847" t="str">
        <f>Datos!A18</f>
        <v>TOTAL</v>
      </c>
      <c r="B18" s="857">
        <f>IF(ISNUMBER(NºAsuntos!G18/NºAsuntos!E18),NºAsuntos!G18/NºAsuntos!E18," - ")</f>
        <v>0.94749896651508891</v>
      </c>
      <c r="C18" s="858">
        <f>IF(ISNUMBER(NºAsuntos!I18/NºAsuntos!G18),NºAsuntos!I18/NºAsuntos!G18," - ")</f>
        <v>1.4210296684118673</v>
      </c>
      <c r="D18" s="861">
        <f>IF(ISNUMBER('Resol  Asuntos'!D18/NºAsuntos!G18),'Resol  Asuntos'!D18/NºAsuntos!G18," - ")</f>
        <v>0.17670157068062828</v>
      </c>
      <c r="E18" s="860">
        <f>IF(ISNUMBER((NºAsuntos!C18+NºAsuntos!E18)/NºAsuntos!G18),(NºAsuntos!C18+NºAsuntos!E18)/NºAsuntos!G18," - ")</f>
        <v>2.4210296684118675</v>
      </c>
      <c r="G18" s="462"/>
    </row>
    <row r="19" spans="1:7" ht="15.75" customHeight="1" thickTop="1" thickBot="1">
      <c r="A19" s="792" t="str">
        <f>Datos!A19</f>
        <v>TOTAL JURISDICCIONES</v>
      </c>
      <c r="B19" s="807">
        <f>IF(ISNUMBER(NºAsuntos!G19/NºAsuntos!E19),NºAsuntos!G19/NºAsuntos!E19," - ")</f>
        <v>1.0149439601494397</v>
      </c>
      <c r="C19" s="808">
        <f>IF(ISNUMBER(NºAsuntos!I19/NºAsuntos!G19),NºAsuntos!I19/NºAsuntos!G19," - ")</f>
        <v>1.5177914110429447</v>
      </c>
      <c r="D19" s="809">
        <f>IF(ISNUMBER('Resol  Asuntos'!D19/NºAsuntos!G19),'Resol  Asuntos'!D19/NºAsuntos!G19," - ")</f>
        <v>0.2361963190184049</v>
      </c>
      <c r="E19" s="810">
        <f>IF(ISNUMBER((NºAsuntos!C19+NºAsuntos!E19)/NºAsuntos!G19),(NºAsuntos!C19+NºAsuntos!E19)/NºAsuntos!G19," - ")</f>
        <v>2.5179959100204501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ICovlUZMo0595KOH9aFxYleeIK6d/OxgIURhxOcd6GZF9XU841+YriV9jk9uCav4tHTOjkQf4y9N/ZRI4zvQ==" saltValue="G6ZjkYA8KOlUZrK7NxW2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LA RIOJA</v>
      </c>
      <c r="G2" s="262"/>
      <c r="H2" s="261"/>
      <c r="I2" s="261"/>
      <c r="J2" s="261"/>
      <c r="K2" s="261"/>
      <c r="L2" s="261" t="str">
        <f>Criterios!A10 &amp;"  "&amp;Criterios!B10</f>
        <v>Provincias  LA RIOJA</v>
      </c>
      <c r="N2" s="261" t="str">
        <f>Criterios!A11 &amp;"  "&amp;Criterios!B11</f>
        <v>Resumenes por Partidos Judiciales  LOGROÑO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4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921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1079</v>
      </c>
      <c r="Y9" s="333">
        <f>SUM(W9:X9)</f>
        <v>1079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9962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586</v>
      </c>
      <c r="AJ9" s="228" t="str">
        <f>IF(ISNUMBER(Datos!BW9),Datos!BW9," - ")</f>
        <v xml:space="preserve"> - </v>
      </c>
      <c r="AK9" s="227" t="str">
        <f>IF(ISNUMBER(Datos!BX9),Datos!BX9," - ")</f>
        <v xml:space="preserve"> - </v>
      </c>
      <c r="AL9" s="242">
        <f>IF(ISNUMBER(NºAsuntos!G9/NºAsuntos!E9),NºAsuntos!G9/NºAsuntos!E9," - ")</f>
        <v>1.1044546850998465</v>
      </c>
      <c r="AM9" s="259">
        <f>IF(ISNUMBER(((NºAsuntos!I9/NºAsuntos!G9)*11)/factor_trimestre),((NºAsuntos!I9/NºAsuntos!G9)*11)/factor_trimestre," - ")</f>
        <v>4.5591098748261478</v>
      </c>
      <c r="AN9" s="243">
        <f>IF(ISNUMBER('Resol  Asuntos'!D9/NºAsuntos!G9),'Resol  Asuntos'!D9/NºAsuntos!G9," - ")</f>
        <v>0.2716736207695874</v>
      </c>
      <c r="AO9" s="244">
        <f>IF(ISNUMBER((NºAsuntos!C9+NºAsuntos!E9)/NºAsuntos!G9),(NºAsuntos!C9+NºAsuntos!E9)/NºAsuntos!G9," - ")</f>
        <v>2.5197032916087156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145</v>
      </c>
      <c r="G10" s="332">
        <f>IF(ISNUMBER(Datos!I10),Datos!I10," - ")</f>
        <v>145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44</v>
      </c>
      <c r="X10" s="225">
        <f>IF(ISNUMBER(Datos!Q10),Datos!Q10," - ")</f>
        <v>15</v>
      </c>
      <c r="Y10" s="333">
        <f t="shared" ref="Y10:Y12" si="0">SUM(W10:X10)</f>
        <v>59</v>
      </c>
      <c r="Z10" s="334" t="str">
        <f>IF(ISNUMBER(Datos!CC10),Datos!CC10," - ")</f>
        <v xml:space="preserve"> - </v>
      </c>
      <c r="AA10" s="331">
        <f>IF(ISNUMBER(Datos!L10),Datos!L10,"-")</f>
        <v>163</v>
      </c>
      <c r="AB10" s="333">
        <f>IF(ISNUMBER(Datos!R10),Datos!R10," - ")</f>
        <v>192</v>
      </c>
      <c r="AC10" s="333">
        <f t="shared" ref="AC10:AC12" si="1">IF(ISNUMBER(AA10+AB10),AA10+AB10," - ")</f>
        <v>355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17</v>
      </c>
      <c r="AJ10" s="230" t="str">
        <f>IF(ISNUMBER(Datos!BW10),Datos!BW10," - ")</f>
        <v xml:space="preserve"> - </v>
      </c>
      <c r="AK10" s="231" t="str">
        <f>IF(ISNUMBER(Datos!BX10),Datos!BX10," - ")</f>
        <v xml:space="preserve"> - </v>
      </c>
      <c r="AL10" s="242">
        <f>IF(ISNUMBER(NºAsuntos!G10/NºAsuntos!E10),NºAsuntos!G10/NºAsuntos!E10," - ")</f>
        <v>0.70967741935483875</v>
      </c>
      <c r="AM10" s="259">
        <f>IF(ISNUMBER(((NºAsuntos!I10/NºAsuntos!G10)*11)/factor_trimestre),((NºAsuntos!I10/NºAsuntos!G10)*11)/factor_trimestre," - ")</f>
        <v>11.113636363636363</v>
      </c>
      <c r="AN10" s="243">
        <f>IF(ISNUMBER('Resol  Asuntos'!D10/NºAsuntos!G10),'Resol  Asuntos'!D10/NºAsuntos!G10," - ")</f>
        <v>0.38636363636363635</v>
      </c>
      <c r="AO10" s="244">
        <f>IF(ISNUMBER((NºAsuntos!C10+NºAsuntos!E10)/NºAsuntos!G10),(NºAsuntos!C10+NºAsuntos!E10)/NºAsuntos!G10," - ")</f>
        <v>4.7045454545454541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34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270</v>
      </c>
      <c r="Y11" s="333">
        <f t="shared" si="0"/>
        <v>270</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278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147</v>
      </c>
      <c r="AJ11" s="230" t="str">
        <f>IF(ISNUMBER(Datos!BW11),Datos!BW11," - ")</f>
        <v xml:space="preserve"> - </v>
      </c>
      <c r="AK11" s="231" t="str">
        <f>IF(ISNUMBER(Datos!BX11),Datos!BX11," - ")</f>
        <v xml:space="preserve"> - </v>
      </c>
      <c r="AL11" s="242">
        <f>IF(ISNUMBER(NºAsuntos!G11/NºAsuntos!E11),NºAsuntos!G11/NºAsuntos!E11," - ")</f>
        <v>1.0338541666666667</v>
      </c>
      <c r="AM11" s="259">
        <f>IF(ISNUMBER(((NºAsuntos!I11/NºAsuntos!G11)*11)/factor_trimestre),((NºAsuntos!I11/NºAsuntos!G11)*11)/factor_trimestre," - ")</f>
        <v>5.4710327455919394</v>
      </c>
      <c r="AN11" s="243">
        <f>IF(ISNUMBER('Resol  Asuntos'!D11/NºAsuntos!G11),'Resol  Asuntos'!D11/NºAsuntos!G11," - ")</f>
        <v>0.37027707808564231</v>
      </c>
      <c r="AO11" s="244">
        <f>IF(ISNUMBER((NºAsuntos!C11+NºAsuntos!E11)/NºAsuntos!G11),(NºAsuntos!C11+NºAsuntos!E11)/NºAsuntos!G11," - ")</f>
        <v>2.8236775818639797</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0</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145</v>
      </c>
      <c r="G13" s="865">
        <f t="shared" si="3"/>
        <v>145</v>
      </c>
      <c r="H13" s="864">
        <f t="shared" si="3"/>
        <v>0</v>
      </c>
      <c r="I13" s="866">
        <f t="shared" si="3"/>
        <v>0</v>
      </c>
      <c r="J13" s="866">
        <f t="shared" si="3"/>
        <v>0</v>
      </c>
      <c r="K13" s="866">
        <f t="shared" si="3"/>
        <v>0</v>
      </c>
      <c r="L13" s="866">
        <f t="shared" si="3"/>
        <v>971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44</v>
      </c>
      <c r="X13" s="866">
        <f t="shared" si="4"/>
        <v>1364</v>
      </c>
      <c r="Y13" s="867">
        <f t="shared" si="4"/>
        <v>1408</v>
      </c>
      <c r="Z13" s="867">
        <f t="shared" si="4"/>
        <v>0</v>
      </c>
      <c r="AA13" s="867">
        <f t="shared" si="4"/>
        <v>163</v>
      </c>
      <c r="AB13" s="867">
        <f t="shared" si="4"/>
        <v>10481</v>
      </c>
      <c r="AC13" s="867">
        <f t="shared" si="4"/>
        <v>355</v>
      </c>
      <c r="AD13" s="867">
        <f t="shared" si="4"/>
        <v>0</v>
      </c>
      <c r="AE13" s="871">
        <f t="shared" si="4"/>
        <v>0</v>
      </c>
      <c r="AF13" s="864">
        <f t="shared" si="4"/>
        <v>0</v>
      </c>
      <c r="AG13" s="872">
        <f t="shared" si="4"/>
        <v>0</v>
      </c>
      <c r="AH13" s="869">
        <f t="shared" si="4"/>
        <v>0</v>
      </c>
      <c r="AI13" s="864">
        <f t="shared" si="4"/>
        <v>750</v>
      </c>
      <c r="AJ13" s="866">
        <f t="shared" si="4"/>
        <v>0</v>
      </c>
      <c r="AK13" s="869">
        <f>SUBTOTAL(9,AK9:AK12)</f>
        <v>0</v>
      </c>
      <c r="AL13" s="873">
        <f>IF(ISNUMBER(NºAsuntos!G13/NºAsuntos!E13),NºAsuntos!G13/NºAsuntos!E13," - ")</f>
        <v>1.0829512296790329</v>
      </c>
      <c r="AM13" s="873">
        <f>IF(ISNUMBER(((NºAsuntos!I13/NºAsuntos!G13)*11)/factor_trimestre),((NºAsuntos!I13/NºAsuntos!G13)*11)/factor_trimestre," - ")</f>
        <v>4.809468822170901</v>
      </c>
      <c r="AN13" s="874">
        <f>IF(ISNUMBER('Resol  Asuntos'!D13/NºAsuntos!G13),'Resol  Asuntos'!D13/NºAsuntos!G13," - ")</f>
        <v>0.28868360277136257</v>
      </c>
      <c r="AO13" s="875">
        <f>IF(ISNUMBER((NºAsuntos!C13+NºAsuntos!E13)/NºAsuntos!G13),(NºAsuntos!C13+NºAsuntos!E13)/NºAsuntos!G13," - ")</f>
        <v>2.6035411855273285</v>
      </c>
      <c r="AP13" s="876" t="str">
        <f t="shared" si="2"/>
        <v xml:space="preserve"> - </v>
      </c>
      <c r="AQ13" s="876">
        <f>IF(ISNUMBER((H13-W13+K13)/(F13)),(H13-W13+K13)/(F13)," - ")</f>
        <v>-0.30344827586206896</v>
      </c>
      <c r="AR13" s="877">
        <f>IF(ISNUMBER((Datos!P13-Datos!Q13)/(Datos!R13-Datos!P13+Datos!Q13)),(Datos!P13-Datos!Q13)/(Datos!R13-Datos!P13+Datos!Q13)," - ")</f>
        <v>-3.6141254368217766E-2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2655</v>
      </c>
      <c r="G15" s="332">
        <f>IF(ISNUMBER(IF(D_I="SI",Datos!I15,Datos!I15+Datos!AC15)),IF(D_I="SI",Datos!I15,Datos!I15+Datos!AC15)," - ")</f>
        <v>2655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102</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1985</v>
      </c>
      <c r="X15" s="225">
        <f>IF(ISNUMBER(Datos!Q15),Datos!Q15," - ")</f>
        <v>122</v>
      </c>
      <c r="Y15" s="333">
        <f>SUM(W15)</f>
        <v>1985</v>
      </c>
      <c r="Z15" s="334" t="str">
        <f>IF(ISNUMBER(Datos!CC15),Datos!CC15," - ")</f>
        <v xml:space="preserve"> - </v>
      </c>
      <c r="AA15" s="331">
        <f>IF(ISNUMBER(IF(D_I="SI",Datos!L15,Datos!L15+Datos!AF15)),IF(D_I="SI",Datos!L15,Datos!L15+Datos!AF15)," - ")</f>
        <v>2741</v>
      </c>
      <c r="AB15" s="333">
        <f>IF(ISNUMBER(Datos!R15),Datos!R15," - ")</f>
        <v>333</v>
      </c>
      <c r="AC15" s="333">
        <f t="shared" ref="AC15:AC17" si="6">IF(ISNUMBER(AA15+AB15),AA15+AB15," - ")</f>
        <v>3074</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354</v>
      </c>
      <c r="AJ15" s="230" t="str">
        <f>IF(ISNUMBER(Datos!BW15),Datos!BW15," - ")</f>
        <v xml:space="preserve"> - </v>
      </c>
      <c r="AK15" s="231" t="str">
        <f>IF(ISNUMBER(Datos!BX15),Datos!BX15," - ")</f>
        <v xml:space="preserve"> - </v>
      </c>
      <c r="AL15" s="242">
        <f>IF(ISNUMBER(NºAsuntos!G15/NºAsuntos!E15),NºAsuntos!G15/NºAsuntos!E15," - ")</f>
        <v>0.95847416706904875</v>
      </c>
      <c r="AM15" s="259">
        <f>IF(ISNUMBER(((NºAsuntos!I15/NºAsuntos!G15)*11)/factor_trimestre),((NºAsuntos!I15/NºAsuntos!G15)*11)/factor_trimestre," - ")</f>
        <v>4.1425692695214105</v>
      </c>
      <c r="AN15" s="243">
        <f>IF(ISNUMBER('Resol  Asuntos'!D15/NºAsuntos!G15),'Resol  Asuntos'!D15/NºAsuntos!G15," - ")</f>
        <v>0.17833753148614609</v>
      </c>
      <c r="AO15" s="244">
        <f>IF(ISNUMBER((NºAsuntos!C15+NºAsuntos!E15)/NºAsuntos!G15),(NºAsuntos!C15+NºAsuntos!E15)/NºAsuntos!G15," - ")</f>
        <v>2.3808564231738036</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475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307</v>
      </c>
      <c r="X17" s="225">
        <f>IF(ISNUMBER(Datos!Q17),Datos!Q17," - ")</f>
        <v>11</v>
      </c>
      <c r="Y17" s="333">
        <f t="shared" si="7"/>
        <v>318</v>
      </c>
      <c r="Z17" s="334" t="str">
        <f>IF(ISNUMBER(Datos!CC17),Datos!CC17," - ")</f>
        <v xml:space="preserve"> - </v>
      </c>
      <c r="AA17" s="331">
        <f>IF(ISNUMBER(Datos!L17),Datos!L17,"-")</f>
        <v>516</v>
      </c>
      <c r="AB17" s="333">
        <f>IF(ISNUMBER(Datos!R17),Datos!R17," - ")</f>
        <v>7</v>
      </c>
      <c r="AC17" s="333">
        <f t="shared" si="6"/>
        <v>523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51</v>
      </c>
      <c r="AJ17" s="230" t="str">
        <f>IF(ISNUMBER(Datos!BW17),Datos!BW17," - ")</f>
        <v xml:space="preserve"> - </v>
      </c>
      <c r="AK17" s="231" t="str">
        <f>IF(ISNUMBER(Datos!BX17),Datos!BX17," - ")</f>
        <v xml:space="preserve"> - </v>
      </c>
      <c r="AL17" s="242">
        <f>IF(ISNUMBER(NºAsuntos!G17/NºAsuntos!E17),NºAsuntos!G17/NºAsuntos!E17," - ")</f>
        <v>0.88218390804597702</v>
      </c>
      <c r="AM17" s="259">
        <f>IF(ISNUMBER(((NºAsuntos!I17/NºAsuntos!G17)*11)/factor_trimestre),((NºAsuntos!I17/NºAsuntos!G17)*11)/factor_trimestre," - ")</f>
        <v>5.0423452768729646</v>
      </c>
      <c r="AN17" s="243">
        <f>IF(ISNUMBER('Resol  Asuntos'!D17/NºAsuntos!G17),'Resol  Asuntos'!D17/NºAsuntos!G17," - ")</f>
        <v>0.16612377850162866</v>
      </c>
      <c r="AO17" s="244">
        <f>IF(ISNUMBER((NºAsuntos!C17+NºAsuntos!E17)/NºAsuntos!G17),(NºAsuntos!C17+NºAsuntos!E17)/NºAsuntos!G17," - ")</f>
        <v>2.6807817589576546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2655</v>
      </c>
      <c r="G18" s="865">
        <f>SUBTOTAL(9,G15:G17)</f>
        <v>3130</v>
      </c>
      <c r="H18" s="864">
        <f t="shared" ref="H18:O18" si="10">SUBTOTAL(9,H14:H17)</f>
        <v>0</v>
      </c>
      <c r="I18" s="866">
        <f t="shared" si="10"/>
        <v>0</v>
      </c>
      <c r="J18" s="866">
        <f t="shared" si="10"/>
        <v>0</v>
      </c>
      <c r="K18" s="866">
        <f t="shared" si="10"/>
        <v>0</v>
      </c>
      <c r="L18" s="866">
        <f t="shared" si="10"/>
        <v>109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2292</v>
      </c>
      <c r="X18" s="866">
        <f t="shared" si="11"/>
        <v>133</v>
      </c>
      <c r="Y18" s="867">
        <f t="shared" si="11"/>
        <v>2303</v>
      </c>
      <c r="Z18" s="867">
        <f t="shared" si="11"/>
        <v>0</v>
      </c>
      <c r="AA18" s="867">
        <f t="shared" si="11"/>
        <v>3257</v>
      </c>
      <c r="AB18" s="867">
        <f t="shared" si="11"/>
        <v>340</v>
      </c>
      <c r="AC18" s="867">
        <f t="shared" si="11"/>
        <v>3597</v>
      </c>
      <c r="AD18" s="867">
        <f t="shared" si="11"/>
        <v>0</v>
      </c>
      <c r="AE18" s="871">
        <f t="shared" si="11"/>
        <v>0</v>
      </c>
      <c r="AF18" s="864">
        <f t="shared" si="11"/>
        <v>0</v>
      </c>
      <c r="AG18" s="872">
        <f t="shared" si="11"/>
        <v>0</v>
      </c>
      <c r="AH18" s="869">
        <f t="shared" si="11"/>
        <v>0</v>
      </c>
      <c r="AI18" s="864">
        <f t="shared" si="11"/>
        <v>405</v>
      </c>
      <c r="AJ18" s="866">
        <f t="shared" si="11"/>
        <v>0</v>
      </c>
      <c r="AK18" s="869">
        <f t="shared" si="11"/>
        <v>0</v>
      </c>
      <c r="AL18" s="873">
        <f>IF(ISNUMBER(NºAsuntos!G18/NºAsuntos!E18),NºAsuntos!G18/NºAsuntos!E18," - ")</f>
        <v>0.94749896651508891</v>
      </c>
      <c r="AM18" s="873">
        <f>IF(ISNUMBER(((NºAsuntos!I18/NºAsuntos!G18)*11)/factor_trimestre),((NºAsuntos!I18/NºAsuntos!G18)*11)/factor_trimestre," - ")</f>
        <v>4.2630890052356021</v>
      </c>
      <c r="AN18" s="874">
        <f>IF(ISNUMBER('Resol  Asuntos'!D18/NºAsuntos!G18),'Resol  Asuntos'!D18/NºAsuntos!G18," - ")</f>
        <v>0.17670157068062828</v>
      </c>
      <c r="AO18" s="875">
        <f>IF(ISNUMBER((NºAsuntos!C18+NºAsuntos!E18)/NºAsuntos!G18),(NºAsuntos!C18+NºAsuntos!E18)/NºAsuntos!G18," - ")</f>
        <v>2.4210296684118675</v>
      </c>
      <c r="AP18" s="876" t="str">
        <f t="shared" si="2"/>
        <v xml:space="preserve"> - </v>
      </c>
      <c r="AQ18" s="876">
        <f>IF(ISNUMBER((H18-W18+K18)/(F18)),(H18-W18+K18)/(F18)," - ")</f>
        <v>-0.86327683615819206</v>
      </c>
      <c r="AR18" s="877">
        <f>IF(ISNUMBER((Datos!P18-Datos!Q18)/(Datos!R18-Datos!P18+Datos!Q18)),(Datos!P18-Datos!Q18)/(Datos!R18-Datos!P18+Datos!Q18)," - ")</f>
        <v>-6.5934065934065936E-2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2800</v>
      </c>
      <c r="G19" s="820">
        <f t="shared" si="13"/>
        <v>3275</v>
      </c>
      <c r="H19" s="819">
        <f t="shared" si="13"/>
        <v>0</v>
      </c>
      <c r="I19" s="821">
        <f t="shared" si="13"/>
        <v>0</v>
      </c>
      <c r="J19" s="821">
        <f t="shared" si="13"/>
        <v>0</v>
      </c>
      <c r="K19" s="880">
        <f t="shared" si="13"/>
        <v>0</v>
      </c>
      <c r="L19" s="821">
        <f t="shared" si="13"/>
        <v>1080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2336</v>
      </c>
      <c r="X19" s="820">
        <f t="shared" si="14"/>
        <v>1497</v>
      </c>
      <c r="Y19" s="827">
        <f t="shared" si="14"/>
        <v>3711</v>
      </c>
      <c r="Z19" s="827">
        <f t="shared" si="14"/>
        <v>0</v>
      </c>
      <c r="AA19" s="827">
        <f t="shared" si="14"/>
        <v>3420</v>
      </c>
      <c r="AB19" s="827">
        <f t="shared" si="14"/>
        <v>10821</v>
      </c>
      <c r="AC19" s="827">
        <f t="shared" si="14"/>
        <v>3952</v>
      </c>
      <c r="AD19" s="827">
        <f t="shared" si="14"/>
        <v>0</v>
      </c>
      <c r="AE19" s="829">
        <f t="shared" si="14"/>
        <v>0</v>
      </c>
      <c r="AF19" s="830">
        <f t="shared" si="14"/>
        <v>0</v>
      </c>
      <c r="AG19" s="831">
        <f t="shared" si="14"/>
        <v>0</v>
      </c>
      <c r="AH19" s="829">
        <f t="shared" si="14"/>
        <v>0</v>
      </c>
      <c r="AI19" s="819">
        <f t="shared" si="14"/>
        <v>1155</v>
      </c>
      <c r="AJ19" s="819">
        <f t="shared" si="14"/>
        <v>0</v>
      </c>
      <c r="AK19" s="829">
        <f t="shared" si="14"/>
        <v>0</v>
      </c>
      <c r="AL19" s="883">
        <f>IF(ISNUMBER(NºAsuntos!G19/NºAsuntos!E19),NºAsuntos!G19/NºAsuntos!E19," - ")</f>
        <v>1.0149439601494397</v>
      </c>
      <c r="AM19" s="884">
        <f>IF(ISNUMBER(((NºAsuntos!I19/NºAsuntos!G19)*11)/factor_trimestre),((NºAsuntos!I19/NºAsuntos!G19)*11)/factor_trimestre," - ")</f>
        <v>4.5533742331288343</v>
      </c>
      <c r="AN19" s="884">
        <f>IF(ISNUMBER('Resol  Asuntos'!D19/NºAsuntos!G19),'Resol  Asuntos'!D19/NºAsuntos!G19," - ")</f>
        <v>0.2361963190184049</v>
      </c>
      <c r="AO19" s="885">
        <f>IF(ISNUMBER((NºAsuntos!C19+NºAsuntos!E19)/NºAsuntos!G19),(NºAsuntos!C19+NºAsuntos!E19)/NºAsuntos!G19," - ")</f>
        <v>2.5179959100204501</v>
      </c>
      <c r="AP19" s="886" t="str">
        <f t="shared" si="2"/>
        <v xml:space="preserve"> - </v>
      </c>
      <c r="AQ19" s="887">
        <f>IF(OR(ISNUMBER(FIND("01",Criterios!A8,1)),ISNUMBER(FIND("02",Criterios!A8,1)),ISNUMBER(FIND("03",Criterios!A8,1)),ISNUMBER(FIND("04",Criterios!A8,1))),(I19-W19+K19)/(F19-K19),(H19-W19+K19)/(F19-K19))</f>
        <v>-0.8342857142857143</v>
      </c>
      <c r="AR19" s="888">
        <f>IF(ISNUMBER((Datos!P19-Datos!Q19)/(Datos!R19-Datos!P19+Datos!Q19)),(Datos!P19-Datos!Q19)/(Datos!R19-Datos!P19+Datos!Q19)," - ")</f>
        <v>-3.7106246663107315E-2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1310</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2.8284271247461903</v>
      </c>
      <c r="F21" s="251">
        <f>IF(ISNUMBER(STDEV(F8:F18)),STDEV(F8:F18),"-")</f>
        <v>1449.1491756659607</v>
      </c>
      <c r="G21" s="252">
        <f>IF(ISNUMBER(STDEV(G8:G18)),STDEV(G8:G18),"-")</f>
        <v>1460.5735174923582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1109.7401948203913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280.99911031887626</v>
      </c>
      <c r="AJ21" s="251">
        <f t="shared" si="18"/>
        <v>0</v>
      </c>
      <c r="AK21" s="253">
        <f t="shared" si="18"/>
        <v>0</v>
      </c>
      <c r="AL21" s="248">
        <f t="shared" si="18"/>
        <v>0.13559364801443091</v>
      </c>
      <c r="AM21" s="249">
        <f t="shared" si="18"/>
        <v>2.4610918449488151</v>
      </c>
      <c r="AN21" s="249">
        <f t="shared" si="18"/>
        <v>9.2611051008407608E-2</v>
      </c>
      <c r="AO21" s="250">
        <f t="shared" si="18"/>
        <v>0.82034260518689728</v>
      </c>
      <c r="AP21" s="290" t="str">
        <f t="shared" si="18"/>
        <v>-</v>
      </c>
      <c r="AQ21" s="291">
        <f t="shared" si="18"/>
        <v>0.39585857128729057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VllN/GckTTapPrkS2JFuS+hBCyrJXVSCsD6hy79dM9Rh2CCRdQBfwzsecYe928J/36ndjIAOqFY7A6rgaInBzQ==" saltValue="XlBZ22Dxwc/rP2z3XJFl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LA RIOJA</v>
      </c>
      <c r="E2" s="262"/>
    </row>
    <row r="3" spans="2:20" ht="17.25" customHeight="1">
      <c r="C3" s="266"/>
      <c r="D3" s="261" t="str">
        <f>Criterios!A10 &amp;"  "&amp;Criterios!B10</f>
        <v>Provincias  LA RIOJA</v>
      </c>
      <c r="E3" s="262"/>
    </row>
    <row r="4" spans="2:20" ht="17.25" customHeight="1" thickBot="1">
      <c r="D4" s="261" t="str">
        <f>Criterios!A11 &amp;"  "&amp;Criterios!B11</f>
        <v>Resumenes por Partidos Judiciales  LOGROÑO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-0.41980198019801979</v>
      </c>
      <c r="I9" s="349">
        <f>IF(ISNUMBER((Tasas!C9-Datos!BE9)/Datos!BE9),(Tasas!C9-Datos!BE9)/Datos!BE9," - ")</f>
        <v>-0.13008463787851193</v>
      </c>
      <c r="J9" s="348">
        <f>IF(ISNUMBER((Tasas!D9-Datos!BF9)/Datos!BF9),(Tasas!D9-Datos!BF9)/Datos!BF9," - ")</f>
        <v>-9.8689985415375603E-2</v>
      </c>
      <c r="K9" s="350">
        <f>IF(ISNUMBER((Tasas!E9-Datos!BG9)/Datos!BG9),(Tasas!E9-Datos!BG9)/Datos!BG9," - ")</f>
        <v>-8.2728703202541415E-2</v>
      </c>
      <c r="M9" t="e">
        <f>IF(Monitorios="SI",Datos!CE9,0)</f>
        <v>#REF!</v>
      </c>
      <c r="N9" t="e">
        <f>IF(Monitorios="SI",Datos!CF9,0)</f>
        <v>#REF!</v>
      </c>
      <c r="O9" t="e">
        <f>IF(Monitorios="SI",Datos!CG9,0)</f>
        <v>#REF!</v>
      </c>
      <c r="P9" t="e">
        <f>IF(Monitorios="SI",Datos!CH9,0)</f>
        <v>#REF!</v>
      </c>
      <c r="Q9">
        <f>IF(J_V="SI",0,Datos!AG9)</f>
        <v>44</v>
      </c>
      <c r="R9">
        <f>IF(J_V="SI",0,Datos!AH9)</f>
        <v>43</v>
      </c>
      <c r="S9">
        <f>IF(J_V="SI",0,Datos!AI9)</f>
        <v>46</v>
      </c>
      <c r="T9">
        <f>IF(J_V="SI",0,Datos!AJ9)</f>
        <v>41</v>
      </c>
    </row>
    <row r="10" spans="2:20" ht="14.25">
      <c r="B10" s="274" t="s">
        <v>242</v>
      </c>
      <c r="C10" s="7" t="str">
        <f>Datos!A10</f>
        <v>Jdos. Violencia contra la mujer/Secc Viol. TI.</v>
      </c>
      <c r="D10" s="351">
        <f>IF(ISNUMBER((Datos!I10-Datos!S10)/Datos!S10),(Datos!I10-Datos!S10)/Datos!S10," - ")</f>
        <v>0.2288135593220339</v>
      </c>
      <c r="E10" s="347">
        <f>IF(ISNUMBER((Datos!J10-Datos!T10)/Datos!T10),(Datos!J10-Datos!T10)/Datos!T10," - ")</f>
        <v>0.21568627450980393</v>
      </c>
      <c r="F10" s="347">
        <f>IF(ISNUMBER((Datos!K10-Datos!U10)/Datos!U10),(Datos!K10-Datos!U10)/Datos!U10," - ")</f>
        <v>-0.2</v>
      </c>
      <c r="G10" s="348">
        <f>IF(ISNUMBER((Datos!L10-Datos!V10)/Datos!V10),(Datos!L10-Datos!V10)/Datos!V10," - ")</f>
        <v>0.42982456140350878</v>
      </c>
      <c r="H10" s="229">
        <f>IF(ISNUMBER((Datos!M10-Datos!W10)/Datos!W10),(Datos!M10-Datos!W10)/Datos!W10," - ")</f>
        <v>-0.43333333333333335</v>
      </c>
      <c r="I10" s="349">
        <f>IF(ISNUMBER((Tasas!C10-Datos!BE10)/Datos!BE10),(Tasas!C10-Datos!BE10)/Datos!BE10," - ")</f>
        <v>0.78728070175438591</v>
      </c>
      <c r="J10" s="348">
        <f>IF(ISNUMBER((Tasas!D10-Datos!BF10)/Datos!BF10),(Tasas!D10-Datos!BF10)/Datos!BF10," - ")</f>
        <v>-0.29166666666666663</v>
      </c>
      <c r="K10" s="350">
        <f>IF(ISNUMBER((Tasas!E10-Datos!BG10)/Datos!BG10),(Tasas!E10-Datos!BG10)/Datos!BG10," - ")</f>
        <v>0.53106508875739633</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-0.19672131147540983</v>
      </c>
      <c r="I11" s="349">
        <f>IF(ISNUMBER((Tasas!C11-Datos!BE11)/Datos!BE11),(Tasas!C11-Datos!BE11)/Datos!BE11," - ")</f>
        <v>-2.6942350312858805E-2</v>
      </c>
      <c r="J11" s="348">
        <f>IF(ISNUMBER((Tasas!D11-Datos!BF11)/Datos!BF11),(Tasas!D11-Datos!BF11)/Datos!BF11," - ")</f>
        <v>-0.11251049538203198</v>
      </c>
      <c r="K11" s="350">
        <f>IF(ISNUMBER((Tasas!E11-Datos!BG11)/Datos!BG11),(Tasas!E11-Datos!BG11)/Datos!BG11," - ")</f>
        <v>-1.756839893672598E-2</v>
      </c>
      <c r="M11" t="e">
        <f>IF(Monitorios="SI",Datos!CE11,0)</f>
        <v>#REF!</v>
      </c>
      <c r="N11" t="e">
        <f>IF(Monitorios="SI",Datos!CF11,0)</f>
        <v>#REF!</v>
      </c>
      <c r="O11" t="e">
        <f>IF(Monitorios="SI",Datos!CG11,0)</f>
        <v>#REF!</v>
      </c>
      <c r="P11" t="e">
        <f>IF(Monitorios="SI",Datos!CH11,0)</f>
        <v>#REF!</v>
      </c>
      <c r="Q11">
        <f>IF(J_V="SI",0,Datos!AG11)</f>
        <v>10</v>
      </c>
      <c r="R11">
        <f>IF(J_V="SI",0,Datos!AH11)</f>
        <v>100</v>
      </c>
      <c r="S11">
        <f>IF(J_V="SI",0,Datos!AI11)</f>
        <v>101</v>
      </c>
      <c r="T11">
        <f>IF(J_V="SI",0,Datos!AJ11)</f>
        <v>9</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-0.38675388389206866</v>
      </c>
      <c r="I13" s="356">
        <f>IF(ISNUMBER((Tasas!C13-Datos!BE13)/Datos!BE13),(Tasas!C13-Datos!BE13)/Datos!BE13," - ")</f>
        <v>-9.3777197563098297E-2</v>
      </c>
      <c r="J13" s="354">
        <f>IF(ISNUMBER((Tasas!D13-Datos!BF13)/Datos!BF13),(Tasas!D13-Datos!BF13)/Datos!BF13," - ")</f>
        <v>-9.9099099099099169E-2</v>
      </c>
      <c r="K13" s="357">
        <f>IF(ISNUMBER((Tasas!E13-Datos!BG13)/Datos!BG13),(Tasas!E13-Datos!BG13)/Datos!BG13," - ")</f>
        <v>-5.97720322490966E-2</v>
      </c>
      <c r="M13" t="e">
        <f>IF(Monitorios="SI",Datos!CE13,0)</f>
        <v>#REF!</v>
      </c>
      <c r="N13" t="e">
        <f>IF(Monitorios="SI",Datos!CF13,0)</f>
        <v>#REF!</v>
      </c>
      <c r="O13" t="e">
        <f>IF(Monitorios="SI",Datos!CG13,0)</f>
        <v>#REF!</v>
      </c>
      <c r="P13" t="e">
        <f>IF(Monitorios="SI",Datos!CH13,0)</f>
        <v>#REF!</v>
      </c>
      <c r="Q13">
        <f>IF(J_V="SI",0,Datos!AG13)</f>
        <v>54</v>
      </c>
      <c r="R13">
        <f>IF(J_V="SI",0,Datos!AH13)</f>
        <v>143</v>
      </c>
      <c r="S13">
        <f>IF(J_V="SI",0,Datos!AI13)</f>
        <v>147</v>
      </c>
      <c r="T13">
        <f>IF(J_V="SI",0,Datos!AJ13)</f>
        <v>50</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-0.1217333774396295</v>
      </c>
      <c r="E15" s="347">
        <f>IF(ISNUMBER(
   IF(D_I="SI",(Datos!J15-Datos!T15)/Datos!T15,(Datos!J15+Datos!AD15-(Datos!T15+Datos!AL15))/(Datos!T15+Datos!AL15))
     ),IF(D_I="SI",(Datos!J15-Datos!T15)/Datos!T15,(Datos!J15+Datos!AD15-(Datos!T15+Datos!AL15))/(Datos!T15+Datos!AL15))," - ")</f>
        <v>5.8280718795531809E-3</v>
      </c>
      <c r="F15" s="347">
        <f>IF(ISNUMBER(
   IF(D_I="SI",(Datos!K15-Datos!U15)/Datos!U15,(Datos!K15+Datos!AE15-(Datos!U15+Datos!AM15))/(Datos!U15+Datos!AM15))
     ),IF(D_I="SI",(Datos!K15-Datos!U15)/Datos!U15,(Datos!K15+Datos!AE15-(Datos!U15+Datos!AM15))/(Datos!U15+Datos!AM15))," - ")</f>
        <v>-0.25794392523364484</v>
      </c>
      <c r="G15" s="348">
        <f>IF(ISNUMBER(
   IF(D_I="SI",(Datos!L15-Datos!V15)/Datos!V15,(Datos!L15+Datos!AF15-(Datos!V15+Datos!AN15))/(Datos!V15+Datos!AN15))
     ),IF(D_I="SI",(Datos!L15-Datos!V15)/Datos!V15,(Datos!L15+Datos!AF15-(Datos!V15+Datos!AN15))/(Datos!V15+Datos!AN15))," - ")</f>
        <v>0.11740725642070933</v>
      </c>
      <c r="H15" s="229">
        <f>IF(ISNUMBER((Datos!M15-Datos!W15)/Datos!W15),(Datos!M15-Datos!W15)/Datos!W15," - ")</f>
        <v>-2.4793388429752067E-2</v>
      </c>
      <c r="I15" s="349">
        <f>IF(ISNUMBER((Tasas!C15-Datos!BE15)/Datos!BE15),(Tasas!C15-Datos!BE15)/Datos!BE15," - ")</f>
        <v>0.5058258997105276</v>
      </c>
      <c r="J15" s="348">
        <f>IF(ISNUMBER((Tasas!D15-Datos!BF15)/Datos!BF15),(Tasas!D15-Datos!BF15)/Datos!BF15," - ")</f>
        <v>0.31419530778358357</v>
      </c>
      <c r="K15" s="350">
        <f>IF(ISNUMBER((Tasas!E15-Datos!BG15)/Datos!BG15),(Tasas!E15-Datos!BG15)/Datos!BG15," - ")</f>
        <v>0.25320561432308641</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0.3808139534883721</v>
      </c>
      <c r="E17" s="347">
        <f>IF(ISNUMBER(
   IF(D_I="SI",(Datos!J17-Datos!T17)/Datos!T17,(Datos!J17+Datos!AD17-(Datos!T17+Datos!AL17))/(Datos!T17+Datos!AL17))
     ),IF(D_I="SI",(Datos!J17-Datos!T17)/Datos!T17,(Datos!J17+Datos!AD17-(Datos!T17+Datos!AL17))/(Datos!T17+Datos!AL17))," - ")</f>
        <v>4.8192771084337352E-2</v>
      </c>
      <c r="F17" s="347">
        <f>IF(ISNUMBER(
   IF(D_I="SI",(Datos!K17-Datos!U17)/Datos!U17,(Datos!K17+Datos!AE17-(Datos!U17+Datos!AM17))/(Datos!U17+Datos!AM17))
     ),IF(D_I="SI",(Datos!K17-Datos!U17)/Datos!U17,(Datos!K17+Datos!AE17-(Datos!U17+Datos!AM17))/(Datos!U17+Datos!AM17))," - ")</f>
        <v>0.2530612244897959</v>
      </c>
      <c r="G17" s="348">
        <f>IF(ISNUMBER(
   IF(D_I="SI",(Datos!L17-Datos!V17)/Datos!V17,(Datos!L17+Datos!AF17-(Datos!V17+Datos!AN17))/(Datos!V17+Datos!AN17))
     ),IF(D_I="SI",(Datos!L17-Datos!V17)/Datos!V17,(Datos!L17+Datos!AF17-(Datos!V17+Datos!AN17))/(Datos!V17+Datos!AN17))," - ")</f>
        <v>0.19721577726218098</v>
      </c>
      <c r="H17" s="229">
        <f>IF(ISNUMBER((Datos!M17-Datos!W17)/Datos!W17),(Datos!M17-Datos!W17)/Datos!W17," - ")</f>
        <v>1.2173913043478262</v>
      </c>
      <c r="I17" s="349">
        <f>IF(ISNUMBER((Tasas!C17-Datos!BE17)/Datos!BE17),(Tasas!C17-Datos!BE17)/Datos!BE17," - ")</f>
        <v>-4.4567213585555855E-2</v>
      </c>
      <c r="J17" s="348">
        <f>IF(ISNUMBER((Tasas!D17-Datos!BF17)/Datos!BF17),(Tasas!D17-Datos!BF17)/Datos!BF17," - ")</f>
        <v>0.76957937969126178</v>
      </c>
      <c r="K17" s="350">
        <f>IF(ISNUMBER((Tasas!E17-Datos!BG17)/Datos!BG17),(Tasas!E17-Datos!BG17)/Datos!BG17," - ")</f>
        <v>-2.8414895052329407E-2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-7.0389070389070385E-2</v>
      </c>
      <c r="E18" s="353">
        <f>IF(ISNUMBER(
   IF(D_I="SI",(Datos!J18-Datos!T18)/Datos!T18,(Datos!J18+Datos!AD18-(Datos!T18+Datos!AL18))/(Datos!T18+Datos!AL18))
     ),IF(D_I="SI",(Datos!J18-Datos!T18)/Datos!T18,(Datos!J18+Datos!AD18-(Datos!T18+Datos!AL18))/(Datos!T18+Datos!AL18))," - ")</f>
        <v>1.1710581346716854E-2</v>
      </c>
      <c r="F18" s="353">
        <f>IF(ISNUMBER(
   IF(D_I="SI",(Datos!K18-Datos!U18)/Datos!U18,(Datos!K18+Datos!AE18-(Datos!U18+Datos!AM18))/(Datos!U18+Datos!AM18))
     ),IF(D_I="SI",(Datos!K18-Datos!U18)/Datos!U18,(Datos!K18+Datos!AE18-(Datos!U18+Datos!AM18))/(Datos!U18+Datos!AM18))," - ")</f>
        <v>-0.21506849315068494</v>
      </c>
      <c r="G18" s="354">
        <f>IF(ISNUMBER(
   IF(D_I="SI",(Datos!L18-Datos!V18)/Datos!V18,(Datos!L18+Datos!AF18-(Datos!V18+Datos!AN18))/(Datos!V18+Datos!AN18))
     ),IF(D_I="SI",(Datos!L18-Datos!V18)/Datos!V18,(Datos!L18+Datos!AF18-(Datos!V18+Datos!AN18))/(Datos!V18+Datos!AN18))," - ")</f>
        <v>0.12933425797503467</v>
      </c>
      <c r="H18" s="355">
        <f>IF(ISNUMBER((Datos!M18-Datos!W18)/Datos!W18),(Datos!M18-Datos!W18)/Datos!W18," - ")</f>
        <v>4.9222797927461141E-2</v>
      </c>
      <c r="I18" s="356">
        <f>IF(ISNUMBER((Tasas!C18-Datos!BE18)/Datos!BE18),(Tasas!C18-Datos!BE18)/Datos!BE18," - ")</f>
        <v>0.43876790283032335</v>
      </c>
      <c r="J18" s="354">
        <f>IF(ISNUMBER((Tasas!D18-Datos!BF18)/Datos!BF18),(Tasas!D18-Datos!BF18)/Datos!BF18," - ")</f>
        <v>0.33670618235086663</v>
      </c>
      <c r="K18" s="357">
        <f>IF(ISNUMBER((Tasas!E18-Datos!BG18)/Datos!BG18),(Tasas!E18-Datos!BG18)/Datos!BG18," - ")</f>
        <v>0.22775384365450727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-0.23962666125596024</v>
      </c>
      <c r="E19" s="362">
        <f>IF(ISNUMBER(
   IF(J_V="SI",(Datos!J19-Datos!T19)/Datos!T19,(Datos!J19+Datos!Z19-(Datos!T19+Datos!AH19))/(Datos!T19+Datos!AH19))
     ),IF(J_V="SI",(Datos!J19-Datos!T19)/Datos!T19,(Datos!J19+Datos!Z19-(Datos!T19+Datos!AH19))/(Datos!T19+Datos!AH19))," - ")</f>
        <v>-0.12288367012561442</v>
      </c>
      <c r="F19" s="362">
        <f>IF(ISNUMBER(
   IF(J_V="SI",(Datos!K19-Datos!U19)/Datos!U19,(Datos!K19+Datos!AA19-(Datos!U19+Datos!AI19))/(Datos!U19+Datos!AI19))
     ),IF(J_V="SI",(Datos!K19-Datos!U19)/Datos!U19,(Datos!K19+Datos!AA19-(Datos!U19+Datos!AI19))/(Datos!U19+Datos!AI19))," - ")</f>
        <v>-0.23402255639097744</v>
      </c>
      <c r="G19" s="363">
        <f>IF(ISNUMBER(
   IF(J_V="SI",(Datos!L19-Datos!V19)/Datos!V19,(Datos!L19+Datos!AB19-(Datos!V19+Datos!AJ19))/(Datos!V19+Datos!AJ19))
     ),IF(J_V="SI",(Datos!L19-Datos!V19)/Datos!V19,(Datos!L19+Datos!AB19-(Datos!V19+Datos!AJ19))/(Datos!V19+Datos!AJ19))," - ")</f>
        <v>-0.17643142476697737</v>
      </c>
      <c r="H19" s="364">
        <f>IF(ISNUMBER((Datos!M19-Datos!W19)/Datos!W19),(Datos!M19-Datos!W19)/Datos!W19," - ")</f>
        <v>-0.28216283405842135</v>
      </c>
      <c r="I19" s="361">
        <f>IF(ISNUMBER((Tasas!C19-Datos!BE19)/Datos!BE19),(Tasas!C19-Datos!BE19)/Datos!BE19," - ")</f>
        <v>7.5186458954522764E-2</v>
      </c>
      <c r="J19" s="362">
        <f>IF(ISNUMBER((Tasas!D19-Datos!BF19)/Datos!BF19),(Tasas!D19-Datos!BF19)/Datos!BF19," - ")</f>
        <v>7.9393720678455834E-3</v>
      </c>
      <c r="K19" s="363">
        <f>IF(ISNUMBER((Tasas!E19-Datos!BG19)/Datos!BG19),(Tasas!E19-Datos!BG19)/Datos!BG19," - ")</f>
        <v>4.7223836454107708E-2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0.24053477135528251</v>
      </c>
      <c r="E21" s="277">
        <f t="shared" si="1"/>
        <v>9.8683392779928977E-2</v>
      </c>
      <c r="F21" s="277">
        <f t="shared" si="1"/>
        <v>0.23995816117117874</v>
      </c>
      <c r="G21" s="278">
        <f t="shared" si="1"/>
        <v>0.14523698891600997</v>
      </c>
      <c r="H21" s="284">
        <f t="shared" si="1"/>
        <v>0.58194330587932031</v>
      </c>
      <c r="I21" s="276">
        <f t="shared" si="1"/>
        <v>0.36556456873731979</v>
      </c>
      <c r="J21" s="277">
        <f t="shared" si="1"/>
        <v>0.37101687102079495</v>
      </c>
      <c r="K21" s="278">
        <f t="shared" si="1"/>
        <v>0.22827592505694969</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8MrMyZCNHtvMOuLtjPlq+yTs+OyCWDgh0MOg6z/W0cvTDSSX9FYT+0x2So4yF0dNvymb1uB/r6dlpaow2hrF3w==" saltValue="ICNyv4r2lu84n6YPhIGVO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2026-03-17T21:35:26Z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